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ULIEULINH\DE THI\231\12. KE TOAN KIEM TOAN -KKE\New folder\231_MÔ PHỎNG KẾ TOÁN DOANH NGHIỆP\231_ĐỀ THI_MPKTDN_ LẦN 1\"/>
    </mc:Choice>
  </mc:AlternateContent>
  <xr:revisionPtr revIDLastSave="0" documentId="8_{B439FB81-7F64-4F7F-84C5-C33B2547F705}" xr6:coauthVersionLast="47" xr6:coauthVersionMax="47" xr10:uidLastSave="{00000000-0000-0000-0000-000000000000}"/>
  <bookViews>
    <workbookView xWindow="22932" yWindow="-108" windowWidth="30936" windowHeight="16776" tabRatio="609" xr2:uid="{00000000-000D-0000-FFFF-FFFF00000000}"/>
  </bookViews>
  <sheets>
    <sheet name="Cau 1" sheetId="39" r:id="rId1"/>
    <sheet name="NKC-Socai" sheetId="2" r:id="rId2"/>
    <sheet name="NXT" sheetId="36" state="hidden" r:id="rId3"/>
    <sheet name="Bang CDPS" sheetId="34" r:id="rId4"/>
    <sheet name="CDKT" sheetId="26" r:id="rId5"/>
    <sheet name="KQKD" sheetId="27" r:id="rId6"/>
    <sheet name="LCTT" sheetId="28" r:id="rId7"/>
    <sheet name="Luong-BH" sheetId="38" r:id="rId8"/>
    <sheet name="DT_XK" sheetId="40" r:id="rId9"/>
    <sheet name="Sheet1" sheetId="37" state="hidden" r:id="rId10"/>
  </sheets>
  <definedNames>
    <definedName name="_xlnm._FilterDatabase" localSheetId="3" hidden="1">'Bang CDPS'!$A$7:$I$106</definedName>
    <definedName name="_xlnm._FilterDatabase" localSheetId="1" hidden="1">'NKC-Socai'!$A$11:$V$127</definedName>
    <definedName name="_xlnm.Print_Area" localSheetId="3">'Bang CDPS'!$B$1:$I$106</definedName>
    <definedName name="_xlnm.Print_Area" localSheetId="4">CDKT!$A$4:$E$135</definedName>
    <definedName name="_xlnm.Print_Area" localSheetId="5">KQKD!$A$1:$E$32</definedName>
    <definedName name="_xlnm.Print_Area" localSheetId="6">LCTT!$B$1:$F$46</definedName>
    <definedName name="_xlnm.Print_Area" localSheetId="1">'NKC-Socai'!$B$3:$K$127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39" l="1"/>
  <c r="E12" i="39"/>
  <c r="E64" i="34" l="1"/>
  <c r="C18" i="38" l="1"/>
  <c r="D18" i="38" s="1"/>
  <c r="C17" i="38"/>
  <c r="D17" i="38" s="1"/>
  <c r="C16" i="38"/>
  <c r="F16" i="38" s="1"/>
  <c r="E18" i="38" l="1"/>
  <c r="G18" i="38" s="1"/>
  <c r="F18" i="38"/>
  <c r="C26" i="38"/>
  <c r="H26" i="38" s="1"/>
  <c r="E17" i="38"/>
  <c r="C19" i="38"/>
  <c r="F26" i="38"/>
  <c r="F17" i="38"/>
  <c r="C28" i="38"/>
  <c r="D26" i="38"/>
  <c r="E26" i="38"/>
  <c r="C27" i="38"/>
  <c r="D16" i="38"/>
  <c r="E16" i="38"/>
  <c r="F19" i="38" l="1"/>
  <c r="G17" i="38"/>
  <c r="E19" i="38"/>
  <c r="G16" i="38"/>
  <c r="G19" i="38" s="1"/>
  <c r="D19" i="38"/>
  <c r="D27" i="38"/>
  <c r="E27" i="38"/>
  <c r="H27" i="38"/>
  <c r="F27" i="38"/>
  <c r="C29" i="38"/>
  <c r="G26" i="38"/>
  <c r="F28" i="38"/>
  <c r="H28" i="38"/>
  <c r="E28" i="38"/>
  <c r="D28" i="38"/>
  <c r="F29" i="38" l="1"/>
  <c r="E29" i="38"/>
  <c r="H29" i="38"/>
  <c r="G28" i="38"/>
  <c r="G27" i="38"/>
  <c r="D29" i="38"/>
  <c r="G29" i="38" l="1"/>
  <c r="G60" i="34"/>
  <c r="F60" i="34"/>
  <c r="G59" i="34"/>
  <c r="F59" i="34"/>
  <c r="F58" i="34"/>
  <c r="G57" i="34"/>
  <c r="F57" i="34"/>
  <c r="E56" i="34"/>
  <c r="I59" i="34" l="1"/>
  <c r="I60" i="34"/>
  <c r="F56" i="34"/>
  <c r="H59" i="34"/>
  <c r="H60" i="34"/>
  <c r="H57" i="34"/>
  <c r="I57" i="34"/>
  <c r="G73" i="34"/>
  <c r="G28" i="34"/>
  <c r="F28" i="34"/>
  <c r="G27" i="34"/>
  <c r="F27" i="34"/>
  <c r="G26" i="34"/>
  <c r="F26" i="34"/>
  <c r="F25" i="34"/>
  <c r="D28" i="34"/>
  <c r="D27" i="34"/>
  <c r="D26" i="34"/>
  <c r="F3" i="40"/>
  <c r="D25" i="34" s="1"/>
  <c r="F2" i="40"/>
  <c r="D24" i="34" s="1"/>
  <c r="B20" i="40"/>
  <c r="B21" i="40" s="1"/>
  <c r="E20" i="40"/>
  <c r="E21" i="40" s="1"/>
  <c r="B1" i="34"/>
  <c r="E24" i="40" l="1"/>
  <c r="B24" i="40"/>
  <c r="I26" i="34"/>
  <c r="I27" i="34"/>
  <c r="I28" i="34"/>
  <c r="H26" i="34"/>
  <c r="H27" i="34"/>
  <c r="H28" i="34"/>
  <c r="B22" i="40"/>
  <c r="E22" i="40"/>
  <c r="G25" i="34"/>
  <c r="I25" i="34" s="1"/>
  <c r="H25" i="34" l="1"/>
  <c r="K107" i="34" l="1"/>
  <c r="K108" i="34" s="1"/>
  <c r="G20" i="40"/>
  <c r="C14" i="40"/>
  <c r="E12" i="40"/>
  <c r="E11" i="40"/>
  <c r="G24" i="40" l="1"/>
  <c r="D13" i="40"/>
  <c r="E13" i="40" s="1"/>
  <c r="E14" i="40" s="1"/>
  <c r="G21" i="40"/>
  <c r="B2" i="28"/>
  <c r="B1" i="28"/>
  <c r="A2" i="27"/>
  <c r="A1" i="27"/>
  <c r="A1" i="26"/>
  <c r="B2" i="34"/>
  <c r="N2" i="2"/>
  <c r="N1" i="2"/>
  <c r="G22" i="40" l="1"/>
  <c r="E20" i="34" l="1"/>
  <c r="D20" i="34"/>
  <c r="G22" i="34"/>
  <c r="F22" i="34"/>
  <c r="E39" i="34"/>
  <c r="D39" i="34"/>
  <c r="G41" i="34"/>
  <c r="F41" i="34"/>
  <c r="G42" i="34"/>
  <c r="F42" i="34"/>
  <c r="G103" i="34"/>
  <c r="F103" i="34"/>
  <c r="G102" i="34"/>
  <c r="F100" i="34"/>
  <c r="F99" i="34"/>
  <c r="F97" i="34"/>
  <c r="F96" i="34"/>
  <c r="F95" i="34"/>
  <c r="F92" i="34"/>
  <c r="G92" i="34" s="1"/>
  <c r="G91" i="34"/>
  <c r="F91" i="34"/>
  <c r="G90" i="34"/>
  <c r="F90" i="34"/>
  <c r="G89" i="34"/>
  <c r="F89" i="34"/>
  <c r="G88" i="34"/>
  <c r="F88" i="34"/>
  <c r="G87" i="34"/>
  <c r="F87" i="34"/>
  <c r="F85" i="34"/>
  <c r="F83" i="34"/>
  <c r="G83" i="34" s="1"/>
  <c r="F82" i="34"/>
  <c r="G82" i="34" s="1"/>
  <c r="F81" i="34"/>
  <c r="G81" i="34" s="1"/>
  <c r="F80" i="34"/>
  <c r="G80" i="34" s="1"/>
  <c r="F79" i="34"/>
  <c r="G79" i="34" s="1"/>
  <c r="F75" i="34"/>
  <c r="G75" i="34" s="1"/>
  <c r="F21" i="34"/>
  <c r="G85" i="34" l="1"/>
  <c r="H85" i="34" s="1"/>
  <c r="G21" i="34"/>
  <c r="G20" i="34" s="1"/>
  <c r="F20" i="34"/>
  <c r="H22" i="34"/>
  <c r="I22" i="34"/>
  <c r="I42" i="34"/>
  <c r="H41" i="34"/>
  <c r="I41" i="34"/>
  <c r="H42" i="34"/>
  <c r="I103" i="34"/>
  <c r="I88" i="34"/>
  <c r="I92" i="34"/>
  <c r="I82" i="34"/>
  <c r="I87" i="34"/>
  <c r="I91" i="34"/>
  <c r="H103" i="34"/>
  <c r="I80" i="34"/>
  <c r="I89" i="34"/>
  <c r="I75" i="34"/>
  <c r="H90" i="34"/>
  <c r="H79" i="34"/>
  <c r="H83" i="34"/>
  <c r="H88" i="34"/>
  <c r="H92" i="34"/>
  <c r="H89" i="34"/>
  <c r="H81" i="34"/>
  <c r="I90" i="34"/>
  <c r="H87" i="34"/>
  <c r="H91" i="34"/>
  <c r="I79" i="34"/>
  <c r="I83" i="34"/>
  <c r="H80" i="34"/>
  <c r="I81" i="34"/>
  <c r="H82" i="34"/>
  <c r="H75" i="34"/>
  <c r="I85" i="34" l="1"/>
  <c r="H21" i="34"/>
  <c r="H20" i="34" s="1"/>
  <c r="I21" i="34"/>
  <c r="I20" i="34" s="1"/>
  <c r="F9" i="38"/>
  <c r="D9" i="38"/>
  <c r="C9" i="38"/>
  <c r="E8" i="38"/>
  <c r="G8" i="38" s="1"/>
  <c r="E7" i="38"/>
  <c r="G7" i="38" s="1"/>
  <c r="E6" i="38"/>
  <c r="G6" i="38" s="1"/>
  <c r="G9" i="38" l="1"/>
  <c r="F94" i="34"/>
  <c r="F78" i="34"/>
  <c r="E9" i="38"/>
  <c r="G58" i="34" s="1"/>
  <c r="I58" i="34" l="1"/>
  <c r="I56" i="34" s="1"/>
  <c r="G56" i="34"/>
  <c r="H58" i="34"/>
  <c r="H56" i="34" s="1"/>
  <c r="G78" i="34"/>
  <c r="I78" i="34" s="1"/>
  <c r="F76" i="34"/>
  <c r="G48" i="34"/>
  <c r="F48" i="34"/>
  <c r="G47" i="34"/>
  <c r="F47" i="34"/>
  <c r="G46" i="34"/>
  <c r="F46" i="34"/>
  <c r="H78" i="34" l="1"/>
  <c r="G76" i="34"/>
  <c r="I76" i="34" s="1"/>
  <c r="I46" i="34"/>
  <c r="I47" i="34"/>
  <c r="I48" i="34"/>
  <c r="H46" i="34"/>
  <c r="H47" i="34"/>
  <c r="H48" i="34"/>
  <c r="H76" i="34" l="1"/>
  <c r="G67" i="34"/>
  <c r="F67" i="34"/>
  <c r="F70" i="34"/>
  <c r="E43" i="34"/>
  <c r="I67" i="34" l="1"/>
  <c r="H67" i="34"/>
  <c r="D138" i="26"/>
  <c r="E135" i="26" l="1"/>
  <c r="E68" i="34" l="1"/>
  <c r="E66" i="34" s="1"/>
  <c r="G45" i="34"/>
  <c r="F45" i="34"/>
  <c r="C8" i="37"/>
  <c r="C7" i="37"/>
  <c r="C6" i="37"/>
  <c r="D8" i="37"/>
  <c r="D7" i="37"/>
  <c r="D6" i="37"/>
  <c r="E37" i="34"/>
  <c r="E36" i="34" s="1"/>
  <c r="D36" i="34"/>
  <c r="G9" i="37"/>
  <c r="E9" i="37"/>
  <c r="F8" i="37"/>
  <c r="H8" i="37" s="1"/>
  <c r="F7" i="37"/>
  <c r="H7" i="37" s="1"/>
  <c r="F6" i="37"/>
  <c r="H6" i="37" s="1"/>
  <c r="I8" i="36"/>
  <c r="H9" i="37" l="1"/>
  <c r="I45" i="34"/>
  <c r="H45" i="34"/>
  <c r="F9" i="37"/>
  <c r="G8" i="36"/>
  <c r="G11" i="36" s="1"/>
  <c r="I9" i="36"/>
  <c r="I11" i="36" s="1"/>
  <c r="J9" i="36"/>
  <c r="L9" i="36" s="1"/>
  <c r="J8" i="36"/>
  <c r="L8" i="36" s="1"/>
  <c r="H11" i="36"/>
  <c r="F11" i="36"/>
  <c r="K8" i="36" l="1"/>
  <c r="M8" i="36" s="1"/>
  <c r="L11" i="36"/>
  <c r="J11" i="36"/>
  <c r="K9" i="36"/>
  <c r="M9" i="36" s="1"/>
  <c r="F51" i="34"/>
  <c r="G40" i="34"/>
  <c r="G39" i="34" s="1"/>
  <c r="F40" i="34"/>
  <c r="F39" i="34" s="1"/>
  <c r="D34" i="34"/>
  <c r="G38" i="34"/>
  <c r="F38" i="34"/>
  <c r="G35" i="34"/>
  <c r="G34" i="34" s="1"/>
  <c r="F35" i="34"/>
  <c r="F34" i="34" s="1"/>
  <c r="F9" i="34"/>
  <c r="F8" i="34" s="1"/>
  <c r="D8" i="34"/>
  <c r="D11" i="34"/>
  <c r="D10" i="34" s="1"/>
  <c r="G69" i="34"/>
  <c r="F69" i="34"/>
  <c r="F68" i="34" s="1"/>
  <c r="F66" i="34" s="1"/>
  <c r="G100" i="34"/>
  <c r="G99" i="34"/>
  <c r="G97" i="34"/>
  <c r="G96" i="34"/>
  <c r="G95" i="34"/>
  <c r="I97" i="34" l="1"/>
  <c r="H97" i="34"/>
  <c r="I96" i="34"/>
  <c r="H96" i="34"/>
  <c r="I99" i="34"/>
  <c r="H99" i="34"/>
  <c r="I100" i="34"/>
  <c r="H100" i="34"/>
  <c r="I95" i="34"/>
  <c r="H95" i="34"/>
  <c r="G68" i="34"/>
  <c r="G37" i="34"/>
  <c r="G36" i="34" s="1"/>
  <c r="F37" i="34"/>
  <c r="F36" i="34" s="1"/>
  <c r="K11" i="36"/>
  <c r="M11" i="36"/>
  <c r="H40" i="34"/>
  <c r="I40" i="34"/>
  <c r="I39" i="34" s="1"/>
  <c r="I35" i="34"/>
  <c r="I34" i="34" s="1"/>
  <c r="I38" i="34"/>
  <c r="I37" i="34" s="1"/>
  <c r="H38" i="34"/>
  <c r="H35" i="34"/>
  <c r="H34" i="34" s="1"/>
  <c r="I69" i="34"/>
  <c r="H69" i="34"/>
  <c r="H68" i="34" s="1"/>
  <c r="H39" i="34" l="1"/>
  <c r="G86" i="34"/>
  <c r="I68" i="34"/>
  <c r="H37" i="34"/>
  <c r="H36" i="34" s="1"/>
  <c r="I36" i="34"/>
  <c r="F86" i="34"/>
  <c r="I86" i="34" l="1"/>
  <c r="H86" i="34"/>
  <c r="D17" i="34"/>
  <c r="G19" i="34"/>
  <c r="F19" i="34"/>
  <c r="F18" i="34"/>
  <c r="F98" i="34" s="1"/>
  <c r="G12" i="34"/>
  <c r="F12" i="34"/>
  <c r="G74" i="34"/>
  <c r="F73" i="34" s="1"/>
  <c r="G72" i="34"/>
  <c r="G64" i="34"/>
  <c r="F64" i="34"/>
  <c r="F63" i="34" s="1"/>
  <c r="E63" i="34"/>
  <c r="G55" i="34"/>
  <c r="E49" i="34"/>
  <c r="E61" i="34"/>
  <c r="G62" i="34"/>
  <c r="F62" i="34"/>
  <c r="D14" i="34"/>
  <c r="D13" i="34" s="1"/>
  <c r="D31" i="34"/>
  <c r="D23" i="34"/>
  <c r="G33" i="34"/>
  <c r="F33" i="34"/>
  <c r="G32" i="34"/>
  <c r="F32" i="34"/>
  <c r="G24" i="34"/>
  <c r="F24" i="34"/>
  <c r="G53" i="34"/>
  <c r="F53" i="34"/>
  <c r="G44" i="34"/>
  <c r="F44" i="34"/>
  <c r="G16" i="34"/>
  <c r="F16" i="34"/>
  <c r="G15" i="34"/>
  <c r="F15" i="34"/>
  <c r="U132" i="2"/>
  <c r="E43" i="28"/>
  <c r="B6" i="28"/>
  <c r="D30" i="27"/>
  <c r="A5" i="27"/>
  <c r="H108" i="34"/>
  <c r="B4" i="34"/>
  <c r="G65" i="34"/>
  <c r="F65" i="34"/>
  <c r="F52" i="34"/>
  <c r="G50" i="34"/>
  <c r="V12" i="2"/>
  <c r="U12" i="2"/>
  <c r="T7" i="2"/>
  <c r="Q5" i="2"/>
  <c r="W9" i="2"/>
  <c r="H73" i="34" l="1"/>
  <c r="I73" i="34"/>
  <c r="G98" i="34"/>
  <c r="I98" i="34" s="1"/>
  <c r="G104" i="34"/>
  <c r="F50" i="34"/>
  <c r="H50" i="34" s="1"/>
  <c r="F43" i="34"/>
  <c r="G43" i="34"/>
  <c r="G31" i="34"/>
  <c r="F23" i="34"/>
  <c r="G71" i="34"/>
  <c r="F17" i="34"/>
  <c r="F11" i="34"/>
  <c r="F10" i="34" s="1"/>
  <c r="G11" i="34"/>
  <c r="G10" i="34" s="1"/>
  <c r="G23" i="34"/>
  <c r="F31" i="34"/>
  <c r="D105" i="34"/>
  <c r="E105" i="34"/>
  <c r="I19" i="34"/>
  <c r="H19" i="34"/>
  <c r="I12" i="34"/>
  <c r="H12" i="34"/>
  <c r="I64" i="34"/>
  <c r="G63" i="34"/>
  <c r="H64" i="34"/>
  <c r="H63" i="34" s="1"/>
  <c r="I62" i="34"/>
  <c r="G54" i="34"/>
  <c r="G61" i="34"/>
  <c r="H62" i="34"/>
  <c r="H61" i="34" s="1"/>
  <c r="F61" i="34"/>
  <c r="G14" i="34"/>
  <c r="G13" i="34" s="1"/>
  <c r="F14" i="34"/>
  <c r="F13" i="34" s="1"/>
  <c r="I44" i="34"/>
  <c r="I53" i="34"/>
  <c r="I24" i="34"/>
  <c r="I32" i="34"/>
  <c r="I33" i="34"/>
  <c r="H32" i="34"/>
  <c r="H33" i="34"/>
  <c r="H24" i="34"/>
  <c r="H53" i="34"/>
  <c r="H44" i="34"/>
  <c r="I15" i="34"/>
  <c r="I16" i="34"/>
  <c r="H15" i="34"/>
  <c r="H16" i="34"/>
  <c r="U13" i="2"/>
  <c r="V13" i="2"/>
  <c r="I65" i="34"/>
  <c r="H65" i="34"/>
  <c r="T13" i="2"/>
  <c r="Q13" i="2" s="1"/>
  <c r="H98" i="34" l="1"/>
  <c r="G18" i="34"/>
  <c r="H18" i="34" s="1"/>
  <c r="H17" i="34" s="1"/>
  <c r="I43" i="34"/>
  <c r="H43" i="34"/>
  <c r="I63" i="34"/>
  <c r="I61" i="34"/>
  <c r="I50" i="34"/>
  <c r="F49" i="34"/>
  <c r="H11" i="34"/>
  <c r="H10" i="34" s="1"/>
  <c r="I11" i="34"/>
  <c r="I10" i="34" s="1"/>
  <c r="E106" i="34"/>
  <c r="H14" i="34"/>
  <c r="I14" i="34"/>
  <c r="I13" i="34" s="1"/>
  <c r="H31" i="34"/>
  <c r="I31" i="34"/>
  <c r="H23" i="34"/>
  <c r="I23" i="34"/>
  <c r="P13" i="2"/>
  <c r="O13" i="2"/>
  <c r="S13" i="2"/>
  <c r="N13" i="2"/>
  <c r="V128" i="2"/>
  <c r="G17" i="34" l="1"/>
  <c r="I18" i="34"/>
  <c r="I17" i="34" s="1"/>
  <c r="H13" i="34"/>
  <c r="F72" i="34"/>
  <c r="H72" i="34" s="1"/>
  <c r="G51" i="34"/>
  <c r="F74" i="34"/>
  <c r="H74" i="34" s="1"/>
  <c r="U128" i="2"/>
  <c r="U129" i="2" s="1"/>
  <c r="I72" i="34" l="1"/>
  <c r="I74" i="34"/>
  <c r="V129" i="2"/>
  <c r="H51" i="34"/>
  <c r="I51" i="34"/>
  <c r="H71" i="34"/>
  <c r="F71" i="34"/>
  <c r="I71" i="34" l="1"/>
  <c r="F93" i="34" l="1"/>
  <c r="F77" i="34" l="1"/>
  <c r="G94" i="34" l="1"/>
  <c r="G93" i="34" s="1"/>
  <c r="F55" i="34"/>
  <c r="G9" i="34"/>
  <c r="F30" i="34"/>
  <c r="F84" i="34" s="1"/>
  <c r="G84" i="34" l="1"/>
  <c r="H84" i="34" s="1"/>
  <c r="I94" i="34"/>
  <c r="I93" i="34" s="1"/>
  <c r="H94" i="34"/>
  <c r="H93" i="34" s="1"/>
  <c r="I9" i="34"/>
  <c r="I8" i="34" s="1"/>
  <c r="H9" i="34"/>
  <c r="H8" i="34" s="1"/>
  <c r="G41" i="28" s="1"/>
  <c r="G8" i="34"/>
  <c r="I55" i="34"/>
  <c r="I54" i="34" s="1"/>
  <c r="H55" i="34"/>
  <c r="H54" i="34" s="1"/>
  <c r="F54" i="34"/>
  <c r="F29" i="34"/>
  <c r="G77" i="34"/>
  <c r="I77" i="34"/>
  <c r="H77" i="34"/>
  <c r="I84" i="34" l="1"/>
  <c r="G30" i="34"/>
  <c r="I30" i="34" l="1"/>
  <c r="I29" i="34" s="1"/>
  <c r="G29" i="34"/>
  <c r="H30" i="34"/>
  <c r="H29" i="34" s="1"/>
  <c r="F102" i="34" l="1"/>
  <c r="G52" i="34"/>
  <c r="H102" i="34" l="1"/>
  <c r="H101" i="34" s="1"/>
  <c r="I102" i="34"/>
  <c r="K128" i="2"/>
  <c r="G70" i="34"/>
  <c r="F104" i="34"/>
  <c r="H52" i="34"/>
  <c r="H49" i="34" s="1"/>
  <c r="I52" i="34"/>
  <c r="I49" i="34" s="1"/>
  <c r="G49" i="34"/>
  <c r="F101" i="34"/>
  <c r="I104" i="34" l="1"/>
  <c r="H104" i="34"/>
  <c r="I70" i="34"/>
  <c r="H70" i="34"/>
  <c r="H66" i="34" s="1"/>
  <c r="G66" i="34"/>
  <c r="G101" i="34"/>
  <c r="I101" i="34"/>
  <c r="F105" i="34"/>
  <c r="L15" i="2" s="1"/>
  <c r="G105" i="34" l="1"/>
  <c r="M16" i="2" s="1"/>
  <c r="H105" i="34"/>
  <c r="D135" i="26"/>
  <c r="I66" i="34"/>
  <c r="I105" i="34" s="1"/>
  <c r="L16" i="2"/>
  <c r="L17" i="2"/>
  <c r="L14" i="2"/>
  <c r="L30" i="2"/>
  <c r="L31" i="2"/>
  <c r="L73" i="2"/>
  <c r="L78" i="2"/>
  <c r="L88" i="2"/>
  <c r="L76" i="2"/>
  <c r="L89" i="2"/>
  <c r="L82" i="2"/>
  <c r="L72" i="2"/>
  <c r="L67" i="2"/>
  <c r="L86" i="2"/>
  <c r="L71" i="2"/>
  <c r="L65" i="2"/>
  <c r="L74" i="2"/>
  <c r="L91" i="2"/>
  <c r="L90" i="2"/>
  <c r="L77" i="2"/>
  <c r="L75" i="2"/>
  <c r="L69" i="2"/>
  <c r="L66" i="2"/>
  <c r="L83" i="2"/>
  <c r="L68" i="2"/>
  <c r="L80" i="2"/>
  <c r="L85" i="2"/>
  <c r="L79" i="2"/>
  <c r="L81" i="2"/>
  <c r="L84" i="2"/>
  <c r="L70" i="2"/>
  <c r="L87" i="2"/>
  <c r="L119" i="2"/>
  <c r="L37" i="2"/>
  <c r="L24" i="2"/>
  <c r="L56" i="2"/>
  <c r="L61" i="2"/>
  <c r="L108" i="2"/>
  <c r="L28" i="2"/>
  <c r="L60" i="2"/>
  <c r="L107" i="2"/>
  <c r="L33" i="2"/>
  <c r="L112" i="2"/>
  <c r="L46" i="2"/>
  <c r="L93" i="2"/>
  <c r="L126" i="2"/>
  <c r="L19" i="2"/>
  <c r="L51" i="2"/>
  <c r="L98" i="2"/>
  <c r="L36" i="2"/>
  <c r="L115" i="2"/>
  <c r="L41" i="2"/>
  <c r="L121" i="2"/>
  <c r="L22" i="2"/>
  <c r="L54" i="2"/>
  <c r="L101" i="2"/>
  <c r="L27" i="2"/>
  <c r="L59" i="2"/>
  <c r="L106" i="2"/>
  <c r="L32" i="2"/>
  <c r="L50" i="2"/>
  <c r="L55" i="2"/>
  <c r="L92" i="2"/>
  <c r="L26" i="2"/>
  <c r="L105" i="2"/>
  <c r="L63" i="2"/>
  <c r="L110" i="2"/>
  <c r="L64" i="2"/>
  <c r="L116" i="2"/>
  <c r="L97" i="2"/>
  <c r="L102" i="2"/>
  <c r="L40" i="2"/>
  <c r="L120" i="2"/>
  <c r="L45" i="2"/>
  <c r="L125" i="2"/>
  <c r="L58" i="2"/>
  <c r="L44" i="2"/>
  <c r="L124" i="2"/>
  <c r="L49" i="2"/>
  <c r="L96" i="2"/>
  <c r="L62" i="2"/>
  <c r="L109" i="2"/>
  <c r="L35" i="2"/>
  <c r="L114" i="2"/>
  <c r="L113" i="2"/>
  <c r="L39" i="2"/>
  <c r="L118" i="2"/>
  <c r="L48" i="2"/>
  <c r="L95" i="2"/>
  <c r="L21" i="2"/>
  <c r="L53" i="2"/>
  <c r="L100" i="2"/>
  <c r="L34" i="2"/>
  <c r="L20" i="2"/>
  <c r="L52" i="2"/>
  <c r="L99" i="2"/>
  <c r="L25" i="2"/>
  <c r="L57" i="2"/>
  <c r="L104" i="2"/>
  <c r="L38" i="2"/>
  <c r="L117" i="2"/>
  <c r="L43" i="2"/>
  <c r="L123" i="2"/>
  <c r="L111" i="2"/>
  <c r="L23" i="2"/>
  <c r="L103" i="2"/>
  <c r="L29" i="2"/>
  <c r="L42" i="2"/>
  <c r="L122" i="2"/>
  <c r="L47" i="2"/>
  <c r="L94" i="2"/>
  <c r="L127" i="2"/>
  <c r="L18" i="2"/>
  <c r="M115" i="2" l="1"/>
  <c r="M83" i="2"/>
  <c r="M30" i="2"/>
  <c r="M39" i="2"/>
  <c r="M109" i="2"/>
  <c r="M123" i="2"/>
  <c r="M62" i="2"/>
  <c r="M98" i="2"/>
  <c r="M116" i="2"/>
  <c r="M29" i="2"/>
  <c r="M94" i="2"/>
  <c r="M57" i="2"/>
  <c r="M47" i="2"/>
  <c r="M112" i="2"/>
  <c r="M103" i="2"/>
  <c r="M49" i="2"/>
  <c r="M44" i="2"/>
  <c r="M27" i="2"/>
  <c r="M95" i="2"/>
  <c r="M67" i="2"/>
  <c r="M61" i="2"/>
  <c r="M72" i="2"/>
  <c r="M114" i="2"/>
  <c r="M24" i="2"/>
  <c r="M23" i="2"/>
  <c r="M50" i="2"/>
  <c r="M91" i="2"/>
  <c r="M71" i="2"/>
  <c r="M60" i="2"/>
  <c r="M121" i="2"/>
  <c r="M122" i="2"/>
  <c r="M107" i="2"/>
  <c r="M48" i="2"/>
  <c r="M35" i="2"/>
  <c r="M70" i="2"/>
  <c r="M77" i="2"/>
  <c r="M127" i="2"/>
  <c r="M104" i="2"/>
  <c r="M101" i="2"/>
  <c r="M56" i="2"/>
  <c r="M93" i="2"/>
  <c r="M41" i="2"/>
  <c r="M111" i="2"/>
  <c r="M22" i="2"/>
  <c r="M105" i="2"/>
  <c r="M125" i="2"/>
  <c r="M51" i="2"/>
  <c r="M65" i="2"/>
  <c r="M81" i="2"/>
  <c r="M75" i="2"/>
  <c r="M76" i="2"/>
  <c r="M82" i="2"/>
  <c r="M33" i="2"/>
  <c r="M64" i="2"/>
  <c r="M102" i="2"/>
  <c r="M58" i="2"/>
  <c r="M73" i="2"/>
  <c r="M85" i="2"/>
  <c r="M88" i="2"/>
  <c r="M14" i="2"/>
  <c r="M32" i="2"/>
  <c r="M38" i="2"/>
  <c r="M113" i="2"/>
  <c r="M53" i="2"/>
  <c r="M52" i="2"/>
  <c r="M55" i="2"/>
  <c r="M63" i="2"/>
  <c r="M20" i="2"/>
  <c r="M106" i="2"/>
  <c r="M26" i="2"/>
  <c r="M45" i="2"/>
  <c r="M120" i="2"/>
  <c r="M54" i="2"/>
  <c r="M66" i="2"/>
  <c r="M78" i="2"/>
  <c r="M43" i="2"/>
  <c r="M117" i="2"/>
  <c r="M100" i="2"/>
  <c r="M99" i="2"/>
  <c r="M110" i="2"/>
  <c r="M92" i="2"/>
  <c r="M19" i="2"/>
  <c r="M84" i="2"/>
  <c r="M90" i="2"/>
  <c r="F106" i="34"/>
  <c r="M17" i="2"/>
  <c r="M108" i="2"/>
  <c r="M34" i="2"/>
  <c r="M21" i="2"/>
  <c r="M96" i="2"/>
  <c r="M31" i="2"/>
  <c r="M59" i="2"/>
  <c r="M40" i="2"/>
  <c r="M126" i="2"/>
  <c r="M79" i="2"/>
  <c r="M68" i="2"/>
  <c r="M46" i="2"/>
  <c r="M80" i="2"/>
  <c r="M89" i="2"/>
  <c r="M74" i="2"/>
  <c r="M15" i="2"/>
  <c r="M18" i="2"/>
  <c r="M124" i="2"/>
  <c r="M42" i="2"/>
  <c r="M28" i="2"/>
  <c r="M118" i="2"/>
  <c r="M25" i="2"/>
  <c r="M97" i="2"/>
  <c r="M37" i="2"/>
  <c r="M36" i="2"/>
  <c r="M119" i="2"/>
  <c r="M87" i="2"/>
  <c r="M86" i="2"/>
  <c r="M69" i="2"/>
  <c r="H106" i="3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W9" authorId="0" shapeId="0" xr:uid="{00000000-0006-0000-0200-000001000000}">
      <text>
        <r>
          <rPr>
            <sz val="9"/>
            <color indexed="81"/>
            <rFont val="Tahoma"/>
            <family val="2"/>
          </rPr>
          <t>Dung xoa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BNT</author>
  </authors>
  <commentList>
    <comment ref="E8" authorId="0" shapeId="0" xr:uid="{00000000-0006-0000-0500-000001000000}">
      <text>
        <r>
          <rPr>
            <sz val="12"/>
            <color indexed="81"/>
            <rFont val="Tahoma"/>
            <family val="2"/>
          </rPr>
          <t>Không cần lập số liệu cho cột này.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BNT</author>
    <author>Nguyen Thanh Phong</author>
  </authors>
  <commentList>
    <comment ref="E7" authorId="0" shapeId="0" xr:uid="{00000000-0006-0000-0600-000001000000}">
      <text>
        <r>
          <rPr>
            <sz val="12"/>
            <color indexed="81"/>
            <rFont val="Tahoma"/>
            <family val="2"/>
          </rPr>
          <t>Không cần lập số liệu cho cột này.</t>
        </r>
      </text>
    </comment>
    <comment ref="D28" authorId="1" shapeId="0" xr:uid="{00000000-0006-0000-0600-000002000000}">
      <text>
        <r>
          <rPr>
            <sz val="8"/>
            <color indexed="81"/>
            <rFont val="Tahoma"/>
            <family val="2"/>
          </rPr>
          <t>chi co tren BC tong hop toan Cty</t>
        </r>
        <r>
          <rPr>
            <b/>
            <sz val="8"/>
            <color indexed="81"/>
            <rFont val="Tahoma"/>
            <family val="2"/>
          </rPr>
          <t xml:space="preserve">
</t>
        </r>
      </text>
    </comment>
    <comment ref="E28" authorId="1" shapeId="0" xr:uid="{00000000-0006-0000-0600-000003000000}">
      <text>
        <r>
          <rPr>
            <sz val="8"/>
            <color indexed="81"/>
            <rFont val="Tahoma"/>
            <family val="2"/>
          </rPr>
          <t>chi co tren BC tong hop toan Cty</t>
        </r>
        <r>
          <rPr>
            <b/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BNT</author>
  </authors>
  <commentList>
    <comment ref="F8" authorId="0" shapeId="0" xr:uid="{00000000-0006-0000-0700-000001000000}">
      <text>
        <r>
          <rPr>
            <sz val="12"/>
            <color indexed="81"/>
            <rFont val="Tahoma"/>
            <family val="2"/>
          </rPr>
          <t>Không cần lập số liệu cho cột này.</t>
        </r>
      </text>
    </comment>
  </commentList>
</comments>
</file>

<file path=xl/sharedStrings.xml><?xml version="1.0" encoding="utf-8"?>
<sst xmlns="http://schemas.openxmlformats.org/spreadsheetml/2006/main" count="824" uniqueCount="640">
  <si>
    <t>411</t>
  </si>
  <si>
    <t>Trang số</t>
  </si>
  <si>
    <t>Số trang trước chuyển sang</t>
  </si>
  <si>
    <t>BẢNG CÂN ĐỐI KẾ TOÁN</t>
  </si>
  <si>
    <t>TÀI SẢN</t>
  </si>
  <si>
    <t>Mã số</t>
  </si>
  <si>
    <t>I. Tiền và các khoản tương đương tiền</t>
  </si>
  <si>
    <t>III. Các khoản phải thu ngắn hạn</t>
  </si>
  <si>
    <t>IV. Hàng tồn kho</t>
  </si>
  <si>
    <t>V. Tài sản ngắn hạn khác</t>
  </si>
  <si>
    <t>NGUỒN VỐN</t>
  </si>
  <si>
    <t>I. Nợ ngắn hạn</t>
  </si>
  <si>
    <t>I. Vốn chủ sở hữu</t>
  </si>
  <si>
    <t>Thuyết minh</t>
  </si>
  <si>
    <t>Giám đốc</t>
  </si>
  <si>
    <t>Chỉ tiêu</t>
  </si>
  <si>
    <t>Người lập biểu</t>
  </si>
  <si>
    <t>Kế toán trưởng</t>
  </si>
  <si>
    <t>BÁO CÁO KẾT QUẢ HOẠT ĐỘNG KINH DOANH</t>
  </si>
  <si>
    <t>CHỈ TIÊU</t>
  </si>
  <si>
    <t xml:space="preserve">Mã </t>
  </si>
  <si>
    <t>Thuyết</t>
  </si>
  <si>
    <t>Năm nay</t>
  </si>
  <si>
    <t>Năm trước</t>
  </si>
  <si>
    <t>số</t>
  </si>
  <si>
    <t xml:space="preserve"> minh</t>
  </si>
  <si>
    <t>1. Doanh thu bán hàng và cung cấp dịch vụ</t>
  </si>
  <si>
    <t>01</t>
  </si>
  <si>
    <t>VI.25</t>
  </si>
  <si>
    <t>2. Các khoản giảm trừ doanh thu</t>
  </si>
  <si>
    <t>02</t>
  </si>
  <si>
    <t>3. Doanh thu thuần về bán hàng và cung cấp dịch vụ 
   (10 = 01 - 02)</t>
  </si>
  <si>
    <t>4. Giá vốn hàng bán</t>
  </si>
  <si>
    <t>VI.27</t>
  </si>
  <si>
    <t>5. Lợi nhuận gộp về bán hàng và cung cấp dịch vụ 
    (20 = 10 - 11)</t>
  </si>
  <si>
    <t>6. Doanh thu hoạt động tài chính</t>
  </si>
  <si>
    <t>VI.26</t>
  </si>
  <si>
    <t>7. Chi phí tài chính</t>
  </si>
  <si>
    <t>VI.28</t>
  </si>
  <si>
    <t xml:space="preserve">  - Trong đó: Chi phí lãi vay </t>
  </si>
  <si>
    <t>8. Chi phí bán hàng</t>
  </si>
  <si>
    <t>9. Chi phí quản lý doanh nghiệp</t>
  </si>
  <si>
    <t>10 Lợi nhuận thuần từ hoạt động kinh doanh
     {30 = 20 + (21 - 22) - (24 + 25)}</t>
  </si>
  <si>
    <t>11. Thu nhập khác</t>
  </si>
  <si>
    <t>12. Chi phí khác</t>
  </si>
  <si>
    <t>13. Lợi nhuận khác (40 = 31 - 32)</t>
  </si>
  <si>
    <t>14. Tổng lợi nhuận kế toán trước thuế 
      (50 = 30 + 40)</t>
  </si>
  <si>
    <t>15. Chi phí thuế TNDN hiện hành</t>
  </si>
  <si>
    <t>VI.30</t>
  </si>
  <si>
    <t>16. Chi phí thuế TNDN hoãn lại</t>
  </si>
  <si>
    <t>17. Lợi nhuận sau thuế thu nhập doanh nghiệp
      (60 = 50 – 51 - 52)</t>
  </si>
  <si>
    <t>18. Lãi cơ bản trên cổ phiếu (*)</t>
  </si>
  <si>
    <t xml:space="preserve">   </t>
  </si>
  <si>
    <t xml:space="preserve">                   Người lập biểu                                      Kế toán trưởng</t>
  </si>
  <si>
    <t>Mẫu số S03a - DN</t>
  </si>
  <si>
    <t>Mẫu số S03b - DN</t>
  </si>
  <si>
    <t>Mẫu số B 01 - DN</t>
  </si>
  <si>
    <t xml:space="preserve"> Mẫu số B 02 – DN</t>
  </si>
  <si>
    <t>BÁO CÁO LƯU CHUYỂN TIỀN TỆ</t>
  </si>
  <si>
    <t>(Theo phương pháp trực tiếp) (*)</t>
  </si>
  <si>
    <t>I. Lưu chuyển tiền từ hoạt động kinh doanh</t>
  </si>
  <si>
    <t xml:space="preserve">  1. Nguồn kinh phí </t>
  </si>
  <si>
    <t xml:space="preserve">  2. Nguồn kinh phí đã hình thành TSCĐ</t>
  </si>
  <si>
    <t>1. Tiền thu từ bán hàng, cung cấp dịch vụ và doanh thu khác</t>
  </si>
  <si>
    <t>2. Tiền chi trả cho người cung cấp hàng hóa và dịch vụ</t>
  </si>
  <si>
    <t>3. Tiền chi trả cho người lao động</t>
  </si>
  <si>
    <t>4. Tiền chi trả lãi vay</t>
  </si>
  <si>
    <t xml:space="preserve">5. Tiền chi nộp thuế thu nhập doanh nghiệp </t>
  </si>
  <si>
    <t>6. Tiền thu khác từ hoạt động kinh doanh</t>
  </si>
  <si>
    <t>7. Tiền chi khác cho hoạt động kinh doanh</t>
  </si>
  <si>
    <t>Lưu chuyển tiền thuần từ hoạt động kinh doanh</t>
  </si>
  <si>
    <t>II. Lưu chuyển tiền từ hoạt động đầu tư</t>
  </si>
  <si>
    <t>1.Tiền chi để mua sắm, xây dựng TSCĐ và các tài sản dài hạn khác</t>
  </si>
  <si>
    <t>2.Tiền thu từ thanh lý, nhượng bán TSCĐ và các tài sản dài hạn khác</t>
  </si>
  <si>
    <t>3.Tiền chi cho vay, mua các công cụ nợ của đơn vị khác</t>
  </si>
  <si>
    <t>4.Tiền thu hồi cho vay, bán lại các công cụ nợ của đơn vị khác</t>
  </si>
  <si>
    <t>5.Tiền chi đầu tư góp vốn vào đơn vị khác</t>
  </si>
  <si>
    <t>6.Tiền thu hồi đầu tư góp vốn vào đơn vị khác</t>
  </si>
  <si>
    <t>7.Tiền thu lãi cho vay, cổ tức và lợi nhuận được chia</t>
  </si>
  <si>
    <t>Lưu chuyển tiền thuần từ hoạt động đầu tư</t>
  </si>
  <si>
    <t>III. Lưu chuyển tiền từ hoạt động tài chính</t>
  </si>
  <si>
    <t>1.Tiền thu từ phát hành cổ phiếu, nhận vốn góp của chủ sở hữu</t>
  </si>
  <si>
    <t>2.Tiền chi trả vốn góp cho các chủ sở hữu, mua lại cổ phiếu của doanh nghiệp đã phát hành</t>
  </si>
  <si>
    <t>3.Tiền vay ngắn hạn, dài hạn nhận được</t>
  </si>
  <si>
    <t>4.Tiền chi trả nợ gốc vay</t>
  </si>
  <si>
    <t>5.Tiền chi trả nợ thuê tài chính</t>
  </si>
  <si>
    <t>6. Cổ tức, lợi nhuận đã trả cho chủ sở hữu</t>
  </si>
  <si>
    <t>Lưu chuyển tiền thuần từ hoạt động tài chính</t>
  </si>
  <si>
    <t>Lưu chuyển tiền thuần trong kỳ (50 = 20+30+40)</t>
  </si>
  <si>
    <t>Tiền và tương đương tiền đầu kỳ</t>
  </si>
  <si>
    <t>Ảnh hưởng của thay đổi tỷ giá hối đoái quy đổi ngoại tệ</t>
  </si>
  <si>
    <t>Tiền và tương đương tiền cuối kỳ (70 = 50+60+61)</t>
  </si>
  <si>
    <t>VII.34</t>
  </si>
  <si>
    <t>Mẫu số B 03 – DN</t>
  </si>
  <si>
    <t xml:space="preserve">  1.Tiền </t>
  </si>
  <si>
    <t xml:space="preserve">  2. Các khoản tương đương tiền</t>
  </si>
  <si>
    <t xml:space="preserve">  2. Trả trước cho người bán</t>
  </si>
  <si>
    <t xml:space="preserve">  3. Phải thu nội bộ ngắn hạn</t>
  </si>
  <si>
    <t xml:space="preserve">  4. Phải thu theo tiến độ kế hoạch hợp đồng xây dựng</t>
  </si>
  <si>
    <t xml:space="preserve">  5. Các khoản phải thu khác</t>
  </si>
  <si>
    <t xml:space="preserve">  1. Hàng tồn kho</t>
  </si>
  <si>
    <t xml:space="preserve">  2. Dự phòng giảm giá hàng tồn kho (*)</t>
  </si>
  <si>
    <t xml:space="preserve">  1. Chi phí trả trước ngắn hạn </t>
  </si>
  <si>
    <t xml:space="preserve">  2. Thuế GTGT được khấu trừ</t>
  </si>
  <si>
    <t xml:space="preserve">  3. Thuế và các khoản khác phải thu Nhà nước</t>
  </si>
  <si>
    <t xml:space="preserve">  5. Tài sản ngắn hạn khác</t>
  </si>
  <si>
    <t xml:space="preserve">I- Các khoản phải thu dài hạn </t>
  </si>
  <si>
    <t xml:space="preserve">  1. Phải thu dài hạn của khách hàng</t>
  </si>
  <si>
    <t>II. Tài sản cố định</t>
  </si>
  <si>
    <t xml:space="preserve">  1. Tài sản cố định hữu hình</t>
  </si>
  <si>
    <t xml:space="preserve">      - Nguyên giá</t>
  </si>
  <si>
    <t xml:space="preserve">      - Giá trị hao mòn luỹ kế (*)</t>
  </si>
  <si>
    <t xml:space="preserve">  2. Tài sản cố định thuê tài chính</t>
  </si>
  <si>
    <t xml:space="preserve">  3. Tài sản cố định vô hình</t>
  </si>
  <si>
    <t>Tổng cộng</t>
  </si>
  <si>
    <t>III. Bất động sản đầu tư</t>
  </si>
  <si>
    <t xml:space="preserve">  1. Đầu tư vào công ty con </t>
  </si>
  <si>
    <t>V. Tài sản dài hạn khác</t>
  </si>
  <si>
    <t xml:space="preserve">  1. Chi phí trả trước dài hạn</t>
  </si>
  <si>
    <t xml:space="preserve">  2. Tài sản thuế thu nhập hoãn lại</t>
  </si>
  <si>
    <t xml:space="preserve">  3. Tài sản dài hạn khác</t>
  </si>
  <si>
    <t>II. Nợ dài hạn</t>
  </si>
  <si>
    <t>B - VỐN CHỦ SỞ HỮU (400 = 410 + 430)</t>
  </si>
  <si>
    <t xml:space="preserve">  2. Thặng dư vốn cổ phần</t>
  </si>
  <si>
    <t>II. Nguồn kinh phí và quỹ khác</t>
  </si>
  <si>
    <t xml:space="preserve">  Kế toán trưởng</t>
  </si>
  <si>
    <t xml:space="preserve">          Giám đốc</t>
  </si>
  <si>
    <t>Số đầu năm</t>
  </si>
  <si>
    <t>Số cuối kỳ</t>
  </si>
  <si>
    <t>111</t>
  </si>
  <si>
    <t>131</t>
  </si>
  <si>
    <t>153</t>
  </si>
  <si>
    <t>156</t>
  </si>
  <si>
    <t>211</t>
  </si>
  <si>
    <t>214</t>
  </si>
  <si>
    <t>331</t>
  </si>
  <si>
    <t>334</t>
  </si>
  <si>
    <t>421</t>
  </si>
  <si>
    <t>511</t>
  </si>
  <si>
    <t>632</t>
  </si>
  <si>
    <t>641</t>
  </si>
  <si>
    <t>911</t>
  </si>
  <si>
    <t>Đơn vị tính: đồng</t>
  </si>
  <si>
    <t>Chứng từ</t>
  </si>
  <si>
    <t>Diễn giải</t>
  </si>
  <si>
    <t>Ngày</t>
  </si>
  <si>
    <t>Đơn vị tính:  đồng</t>
  </si>
  <si>
    <t>Số hiệu</t>
  </si>
  <si>
    <t>Đã ghi sổ cái</t>
  </si>
  <si>
    <t>Số thứ tự dòng</t>
  </si>
  <si>
    <t>Tài khoản</t>
  </si>
  <si>
    <t>Nợ</t>
  </si>
  <si>
    <t>Có</t>
  </si>
  <si>
    <t>Số phát sinh</t>
  </si>
  <si>
    <t>Ngày ghi sổ</t>
  </si>
  <si>
    <t>Nhật ký chung</t>
  </si>
  <si>
    <t>Số TT dòng</t>
  </si>
  <si>
    <t>TK đối ứng</t>
  </si>
  <si>
    <t>Số dư đầu kỳ</t>
  </si>
  <si>
    <t>SỔ NHẬT KÝ CHUNG</t>
  </si>
  <si>
    <t>SỔ CÁI</t>
  </si>
  <si>
    <t>SỔ CHI TIẾT</t>
  </si>
  <si>
    <t>Số hiệu tài khoản</t>
  </si>
  <si>
    <t>Tên tài khoản</t>
  </si>
  <si>
    <t>Ngày tháng ghi sổ</t>
  </si>
  <si>
    <t>GIÁM ĐỐC</t>
  </si>
  <si>
    <t>NGƯỜI GHI SỔ</t>
  </si>
  <si>
    <t>KẾ TOÁN TRƯỞNG</t>
  </si>
  <si>
    <t>Số dư cuối tháng</t>
  </si>
  <si>
    <t>Cộng lũy kế phát sinh từ đầu quý</t>
  </si>
  <si>
    <t>Cộng số phát sinh</t>
  </si>
  <si>
    <t>Phát sinh trong kỳ</t>
  </si>
  <si>
    <t>Số dư cuối kỳ</t>
  </si>
  <si>
    <t>Số hiệu TK</t>
  </si>
  <si>
    <t>LẬP BIỂU</t>
  </si>
  <si>
    <t>BẢNG CÂN ĐỐI PHÁT SINH CÁC TÀI KHOẢN</t>
  </si>
  <si>
    <t>TỔNG CỘNG TÀI SẢN (270 = 100 + 200)</t>
  </si>
  <si>
    <t>TỔNG CỘNG NGUỒN VỐN (440 = 300 + 400)</t>
  </si>
  <si>
    <t>642</t>
  </si>
  <si>
    <t>7</t>
  </si>
  <si>
    <t>8</t>
  </si>
  <si>
    <t>112</t>
  </si>
  <si>
    <t>133</t>
  </si>
  <si>
    <t>333</t>
  </si>
  <si>
    <t>338</t>
  </si>
  <si>
    <t>G</t>
  </si>
  <si>
    <t>3331</t>
  </si>
  <si>
    <t>821</t>
  </si>
  <si>
    <t>Tiền mặt</t>
  </si>
  <si>
    <t>Tiền gửi ngân hàng</t>
  </si>
  <si>
    <t>Phải thu khách hàng</t>
  </si>
  <si>
    <t>Thuế GTGT được khấu trừ</t>
  </si>
  <si>
    <t>Hàng hóa</t>
  </si>
  <si>
    <t>Hao mòn tài sản cố định</t>
  </si>
  <si>
    <t>Phải trả cho người bán</t>
  </si>
  <si>
    <t>Thuế và các khoản phải nộp cho nhà nước</t>
  </si>
  <si>
    <t>3334</t>
  </si>
  <si>
    <t>Phải trả người lao động</t>
  </si>
  <si>
    <t>Nguồn vốn kinh doanh</t>
  </si>
  <si>
    <t>Doanh thu bán hàng và cung câp dịch vụ</t>
  </si>
  <si>
    <t>Giá vốn hàng bán</t>
  </si>
  <si>
    <t>Chi phí bán hàng</t>
  </si>
  <si>
    <t>Chi phí quản lý doanh nghiệp</t>
  </si>
  <si>
    <t>Chi phí thuế TNDN</t>
  </si>
  <si>
    <t>Xác định kết quả kinh doanh</t>
  </si>
  <si>
    <t>152</t>
  </si>
  <si>
    <t>Nguyên vật liệu</t>
  </si>
  <si>
    <t>1311</t>
  </si>
  <si>
    <t>1311.01</t>
  </si>
  <si>
    <t>1311.02</t>
  </si>
  <si>
    <t>Phải thu khách hàng ngắn hạn</t>
  </si>
  <si>
    <t>3311.05</t>
  </si>
  <si>
    <t>3335</t>
  </si>
  <si>
    <t>Thuế Thu nhập cá nhân</t>
  </si>
  <si>
    <t>Thuế Thu nhập doanh nghiệp</t>
  </si>
  <si>
    <t>152.01</t>
  </si>
  <si>
    <t>152.02</t>
  </si>
  <si>
    <t>156.05</t>
  </si>
  <si>
    <t>Tài sản cố định hữu hình</t>
  </si>
  <si>
    <t>Thuế GTGT đầu ra</t>
  </si>
  <si>
    <t>3341</t>
  </si>
  <si>
    <t>Lương</t>
  </si>
  <si>
    <t>4111</t>
  </si>
  <si>
    <t>Vốn đầu tư của chủ sở hữu</t>
  </si>
  <si>
    <t>4212</t>
  </si>
  <si>
    <t>5113</t>
  </si>
  <si>
    <t>5111</t>
  </si>
  <si>
    <t>Doanh thu cung cấp dịch vụ</t>
  </si>
  <si>
    <t>Doanh thu bán hàng hóa</t>
  </si>
  <si>
    <t>8211</t>
  </si>
  <si>
    <t>Chi phí thuế TNDN hiện hành</t>
  </si>
  <si>
    <t>1111</t>
  </si>
  <si>
    <t>1331</t>
  </si>
  <si>
    <t>Thuế GTGT được khấu trừ của HH,DV</t>
  </si>
  <si>
    <t>Thuế GTGT được khấu trừ của TSCĐ</t>
  </si>
  <si>
    <t>1332</t>
  </si>
  <si>
    <t>156.04</t>
  </si>
  <si>
    <t>6421</t>
  </si>
  <si>
    <t>Chi phí nhân viên quản lý</t>
  </si>
  <si>
    <t>6422</t>
  </si>
  <si>
    <t>Chi phí vật liệu quản lý</t>
  </si>
  <si>
    <t>6423</t>
  </si>
  <si>
    <t>Chi phí đồ dùng văn phòng</t>
  </si>
  <si>
    <t>6424</t>
  </si>
  <si>
    <t>Chi phí khấu hao TSCĐ</t>
  </si>
  <si>
    <t xml:space="preserve">6425 </t>
  </si>
  <si>
    <t>Thuế, phí và lệ phí</t>
  </si>
  <si>
    <t>6427</t>
  </si>
  <si>
    <t>Chi phí dịch vụ mua ngoài</t>
  </si>
  <si>
    <t>6428</t>
  </si>
  <si>
    <t>Chi phí bằng tiền khác</t>
  </si>
  <si>
    <t>6411</t>
  </si>
  <si>
    <t>Chi phí nhân viên</t>
  </si>
  <si>
    <t>6414</t>
  </si>
  <si>
    <t>6417</t>
  </si>
  <si>
    <t>6418</t>
  </si>
  <si>
    <t>6412</t>
  </si>
  <si>
    <t>Chi phí vật liệu, bao bì</t>
  </si>
  <si>
    <t>6413</t>
  </si>
  <si>
    <t>Chi phí dụng cụ đồ dùng</t>
  </si>
  <si>
    <t>621</t>
  </si>
  <si>
    <t>Chi phí nguyên liệu, vật liệu trực tiếp</t>
  </si>
  <si>
    <t>622</t>
  </si>
  <si>
    <t>Chi phí nhân công trực tiếp</t>
  </si>
  <si>
    <t>627</t>
  </si>
  <si>
    <t>Chi phí sản xuất chung</t>
  </si>
  <si>
    <t>6271</t>
  </si>
  <si>
    <t>Chi phí nhân viên phân xưởng</t>
  </si>
  <si>
    <t>6273</t>
  </si>
  <si>
    <t>Chi phí dụng cụ sản xuất</t>
  </si>
  <si>
    <t>6274</t>
  </si>
  <si>
    <t>6277</t>
  </si>
  <si>
    <t>6278</t>
  </si>
  <si>
    <t>6272</t>
  </si>
  <si>
    <t>Chi phí vật liệu sản xuất</t>
  </si>
  <si>
    <t>Chi phí SXKD dở dang</t>
  </si>
  <si>
    <t>154</t>
  </si>
  <si>
    <t>1121</t>
  </si>
  <si>
    <t>Tiền gửi ngân hàng - VNĐ</t>
  </si>
  <si>
    <t>1121.01</t>
  </si>
  <si>
    <t>Tiền mặt - VNĐ</t>
  </si>
  <si>
    <t>3311.06</t>
  </si>
  <si>
    <t>635</t>
  </si>
  <si>
    <t>Chi phí tài chính</t>
  </si>
  <si>
    <t>2111</t>
  </si>
  <si>
    <t>2141</t>
  </si>
  <si>
    <t>Nhà cửa vật kiến trúc</t>
  </si>
  <si>
    <t>Hao mòn tài sản cố định hữu hình</t>
  </si>
  <si>
    <t>242</t>
  </si>
  <si>
    <t>3332</t>
  </si>
  <si>
    <t>Thuế Tiêu thụ đăt biệt</t>
  </si>
  <si>
    <t>Dòng tiền thu</t>
  </si>
  <si>
    <t>Dòng tiền chi</t>
  </si>
  <si>
    <t>ĐƠN VỊ: CÔNG TY CP MÊ LINH</t>
  </si>
  <si>
    <t>ĐỊA CHỈ: 123 An Dương Vương, Quận 10 , TP.HCM</t>
  </si>
  <si>
    <t xml:space="preserve"> BẢNG KÊ NHẬP - XUẤT - TỒN HÀNG HÓA  </t>
  </si>
  <si>
    <t xml:space="preserve"> S T T </t>
  </si>
  <si>
    <t xml:space="preserve"> Mã hàng hóa</t>
  </si>
  <si>
    <t xml:space="preserve"> Tên vật tư </t>
  </si>
  <si>
    <t xml:space="preserve"> Đvt </t>
  </si>
  <si>
    <t xml:space="preserve"> Tồn đầu kỳ </t>
  </si>
  <si>
    <t xml:space="preserve"> Nhập trong kỳ </t>
  </si>
  <si>
    <t xml:space="preserve"> Xuất trong kỳ </t>
  </si>
  <si>
    <t xml:space="preserve"> Tồn cuối kỳ </t>
  </si>
  <si>
    <t xml:space="preserve"> Số lượng </t>
  </si>
  <si>
    <t xml:space="preserve"> Giá trị </t>
  </si>
  <si>
    <t xml:space="preserve"> Tổng cộng </t>
  </si>
  <si>
    <t xml:space="preserve"> Người lập phiếu </t>
  </si>
  <si>
    <t>Kế toán trưởng</t>
  </si>
  <si>
    <t>Ngày   tháng   năm 2011</t>
  </si>
  <si>
    <t>Giám đốc</t>
  </si>
  <si>
    <t>Máy Fax Sony</t>
  </si>
  <si>
    <t>Chiếc</t>
  </si>
  <si>
    <t>Máy Foto Sony</t>
  </si>
  <si>
    <t>Tháng 11/2011</t>
  </si>
  <si>
    <t>Công ty Quốc Chí</t>
  </si>
  <si>
    <t>Công ty Phương Lan</t>
  </si>
  <si>
    <t>ĐƠN VỊ: CÔNG TY ……….</t>
  </si>
  <si>
    <t>3311.07</t>
  </si>
  <si>
    <t>21411</t>
  </si>
  <si>
    <t>Hao mòn TSCĐ HH - nhà của vật kiến trúc</t>
  </si>
  <si>
    <t>Thuc linh</t>
  </si>
  <si>
    <t>Tam ung</t>
  </si>
  <si>
    <t>Bao hiem 10.5%</t>
  </si>
  <si>
    <t>1</t>
  </si>
  <si>
    <t>2</t>
  </si>
  <si>
    <t>8212</t>
  </si>
  <si>
    <t>Chi phí thuế TNDN hoãn lại</t>
  </si>
  <si>
    <t>243</t>
  </si>
  <si>
    <t>Tài sản thuế thu nhập hoãn lại</t>
  </si>
  <si>
    <t>2421</t>
  </si>
  <si>
    <t>42121</t>
  </si>
  <si>
    <t>1541</t>
  </si>
  <si>
    <t>PC 01</t>
  </si>
  <si>
    <t>PC 02</t>
  </si>
  <si>
    <t>PC 03</t>
  </si>
  <si>
    <t>Bảng TT lương</t>
  </si>
  <si>
    <t>Chi phí trả trước</t>
  </si>
  <si>
    <t>Vay và nợ thuê tài chính</t>
  </si>
  <si>
    <t>341</t>
  </si>
  <si>
    <t>341.01</t>
  </si>
  <si>
    <t>PT 01</t>
  </si>
  <si>
    <t>Bộ phận</t>
  </si>
  <si>
    <t>Trừ tạm ứng</t>
  </si>
  <si>
    <t>BP trực tiếp</t>
  </si>
  <si>
    <t>BP gián tiếp</t>
  </si>
  <si>
    <t>Trừ BHXH,BHYT,BHTN (10,5%)</t>
  </si>
  <si>
    <t>Lợi nhuận sau thuế chưa phân phối</t>
  </si>
  <si>
    <t>Lợi nhuận sau thuế chưa PP năm trước</t>
  </si>
  <si>
    <t>Lợi nhuận sau thuế chưa PP năm nay</t>
  </si>
  <si>
    <t>4211</t>
  </si>
  <si>
    <t>Trích KPCĐ (2%)</t>
  </si>
  <si>
    <t xml:space="preserve">                             Đơn vị tính:.............</t>
  </si>
  <si>
    <t>5</t>
  </si>
  <si>
    <t>A - TÀI SẢN NGẮN HẠN</t>
  </si>
  <si>
    <t>II. Đầu tư tài chính ngắn hạn</t>
  </si>
  <si>
    <t xml:space="preserve">  1. Chứng khoán kinh doanh</t>
  </si>
  <si>
    <t xml:space="preserve">  2. Dự phòng giảm giá chứng khoán kinh doanh</t>
  </si>
  <si>
    <t xml:space="preserve">  3. Đầu tư nắm giữ đến ngày đáo hạn</t>
  </si>
  <si>
    <t xml:space="preserve">  1. Phải thu ngắn hạn khách hàng </t>
  </si>
  <si>
    <t xml:space="preserve">  6. Phải thu ngắn hạn khác</t>
  </si>
  <si>
    <t xml:space="preserve">  7. Dự phòng phải thu ngắn hạn khó đòi (*)</t>
  </si>
  <si>
    <t xml:space="preserve">  8. Tài sản thiếu chừ xử lý</t>
  </si>
  <si>
    <t xml:space="preserve">  4. Giao dịnh mua bán lại trái phiếu chính phủ</t>
  </si>
  <si>
    <t>B - TÀI SẢN DÀI HẠN</t>
  </si>
  <si>
    <t xml:space="preserve">  2. Trả trước cho người bán dài hạn</t>
  </si>
  <si>
    <t xml:space="preserve">  3. Vốn kinh doanh ở đơn vị trực thuộc</t>
  </si>
  <si>
    <t xml:space="preserve">  4. Phải thu nội bộ dài hạn</t>
  </si>
  <si>
    <t xml:space="preserve">  5. Phải thu về cho vay dài hạn</t>
  </si>
  <si>
    <t xml:space="preserve">  6. Phải thu dài hạn khác</t>
  </si>
  <si>
    <t xml:space="preserve">  7. Dự phòng phải thu dài hạn khó đòi (*)</t>
  </si>
  <si>
    <t>IV. Tài sản dở dang dài hạn</t>
  </si>
  <si>
    <t xml:space="preserve">  1. Chi phí sản xuất kinh doanh dở dang dài hạn</t>
  </si>
  <si>
    <t xml:space="preserve">  2. Chi phí xây dựng cơ bản dở dang</t>
  </si>
  <si>
    <t>IV. Đầu tư tài chính dài hạn</t>
  </si>
  <si>
    <t xml:space="preserve">  2. Đầu tư vào công ty liên doanh, liên kết</t>
  </si>
  <si>
    <t xml:space="preserve">  3. Đầu tư khác vào công cụ vốn</t>
  </si>
  <si>
    <t xml:space="preserve">  4. Dự phòng đầu tư tài chính dài hạn (*)</t>
  </si>
  <si>
    <t xml:space="preserve">  5. Đầu tư nắm giữ đến ngày đáo hạn</t>
  </si>
  <si>
    <t xml:space="preserve">  3. Thiết bị, vật tư, phụ tùng thay thế dài hạn</t>
  </si>
  <si>
    <t>A - NỢ PHẢI TRẢ (300 = 310 + 330)</t>
  </si>
  <si>
    <t xml:space="preserve">  1. Phải trả người bán ngắn hạn</t>
  </si>
  <si>
    <t xml:space="preserve">  2. Người mua trả tiền trước</t>
  </si>
  <si>
    <t xml:space="preserve">  3. Thuế và các khoản phải nộp Nhà nước</t>
  </si>
  <si>
    <t xml:space="preserve">  4. Phải trả người lao động</t>
  </si>
  <si>
    <t xml:space="preserve">  6. Phải trả nội bộ ngắn hạn</t>
  </si>
  <si>
    <t xml:space="preserve">  7. Phải trả theo tiến độ kế hoạch hợp đồng xây dựng</t>
  </si>
  <si>
    <t xml:space="preserve">  8. Doanh thu chưa thực hiện ngắn hạn</t>
  </si>
  <si>
    <t xml:space="preserve">  9. Phải trả ngắn hạn khác</t>
  </si>
  <si>
    <t xml:space="preserve">  10. Vay và nợ thuê tài chính ngắn hạn</t>
  </si>
  <si>
    <t xml:space="preserve">  11. Dự phòng phải trả ngắn hạn</t>
  </si>
  <si>
    <t xml:space="preserve">  12. Quỹ khen thưởng, phúc lợi</t>
  </si>
  <si>
    <t xml:space="preserve">  13. Quỹ bình ổn giá</t>
  </si>
  <si>
    <t xml:space="preserve">  14. Giao dịch mua bán lại trái phiếu chính phủ</t>
  </si>
  <si>
    <t xml:space="preserve">  1. Phải trả người bán dài hạn</t>
  </si>
  <si>
    <t xml:space="preserve">  2. Người mua trả tiền trước dài hạn</t>
  </si>
  <si>
    <t xml:space="preserve">  3. Chi phí phải trả dài hạn</t>
  </si>
  <si>
    <t xml:space="preserve">  4. Phải trả nội bộ về vốn kinh doanh</t>
  </si>
  <si>
    <t xml:space="preserve">  5. Phải trả nội bộ dài hạn</t>
  </si>
  <si>
    <t xml:space="preserve">  6. Doanh thu chưa thực hiện dài hạn</t>
  </si>
  <si>
    <t xml:space="preserve">  7. Phải trả dài hạn khác</t>
  </si>
  <si>
    <t xml:space="preserve">  8. Vay và nợ thuê tài chính dài hạn</t>
  </si>
  <si>
    <t xml:space="preserve">  9. Trái phiếu chuyển đổi</t>
  </si>
  <si>
    <t xml:space="preserve">  10. Cổ phiếu ưu đãi</t>
  </si>
  <si>
    <t xml:space="preserve">  11. Thuế thu nhập hoãn lại phải trả </t>
  </si>
  <si>
    <t xml:space="preserve">  12. Dự phòng phải trả dài hạn </t>
  </si>
  <si>
    <t xml:space="preserve">  13. Quỹ phát triển khoa học và công nghệ</t>
  </si>
  <si>
    <t xml:space="preserve">  1. Vốn góp của chủ sở hữu</t>
  </si>
  <si>
    <t xml:space="preserve">       - Cổ phiếu phổ thông</t>
  </si>
  <si>
    <t>411a</t>
  </si>
  <si>
    <t xml:space="preserve">       - Cổ phiếu ưu đãi</t>
  </si>
  <si>
    <t>411b</t>
  </si>
  <si>
    <t xml:space="preserve">  3. Quyền chọn chuyển đổi trái phiếu</t>
  </si>
  <si>
    <t xml:space="preserve">  4. Vốn khác của chủ sở hữu </t>
  </si>
  <si>
    <t xml:space="preserve">  5. Cổ phiếu quỹ (*)</t>
  </si>
  <si>
    <t xml:space="preserve">  6. Chênh lệch đánh giá lại tài sản</t>
  </si>
  <si>
    <t xml:space="preserve">  7. Chênh lệch tỷ giá hối đoái</t>
  </si>
  <si>
    <t xml:space="preserve">  8. Quỹ đầu tư phát triển</t>
  </si>
  <si>
    <t xml:space="preserve">  9. Quỹ hỗ trợ xắp xếp doanh nghiệp</t>
  </si>
  <si>
    <t xml:space="preserve">  10. Quỹ khác thuộc vốn chủ sở hữu</t>
  </si>
  <si>
    <t xml:space="preserve">  11. Lợi nhuận sau thuế chưa phân phối</t>
  </si>
  <si>
    <t xml:space="preserve">      - LNST chưa phân phối luỹ kế đến cuối kỳ trước</t>
  </si>
  <si>
    <t>421a</t>
  </si>
  <si>
    <t xml:space="preserve">      - LNST chưa phân phối kỳ này</t>
  </si>
  <si>
    <t>421b</t>
  </si>
  <si>
    <t xml:space="preserve">  12. Nguồn vốn đầu tư XDCB</t>
  </si>
  <si>
    <t xml:space="preserve">  5. Chi phí phải trả ngắn hạn</t>
  </si>
  <si>
    <t>414</t>
  </si>
  <si>
    <t>Quỹ đầu tư phát triển</t>
  </si>
  <si>
    <t>4</t>
  </si>
  <si>
    <t>6</t>
  </si>
  <si>
    <t>3</t>
  </si>
  <si>
    <t>Bảng tính BH</t>
  </si>
  <si>
    <t>3311.04</t>
  </si>
  <si>
    <t>Công ty Điện lực</t>
  </si>
  <si>
    <t>- LNST chưa phân phối luỹ kế đến cuối kỳ trước</t>
  </si>
  <si>
    <t>- LNST chưa phân phối kỳ này</t>
  </si>
  <si>
    <t>42122</t>
  </si>
  <si>
    <t>K/c thuế GTGT được khấu trừ</t>
  </si>
  <si>
    <t>t</t>
  </si>
  <si>
    <t>3311.08</t>
  </si>
  <si>
    <t>KC 01</t>
  </si>
  <si>
    <t>KC 02</t>
  </si>
  <si>
    <t>KC 03</t>
  </si>
  <si>
    <t>KC 04</t>
  </si>
  <si>
    <t>KC 05</t>
  </si>
  <si>
    <t>KC 06</t>
  </si>
  <si>
    <t>KC 07</t>
  </si>
  <si>
    <t>KC 08</t>
  </si>
  <si>
    <t>KC 09</t>
  </si>
  <si>
    <t>KC 10</t>
  </si>
  <si>
    <t>KC 11</t>
  </si>
  <si>
    <t>KC 12</t>
  </si>
  <si>
    <t>KC 13</t>
  </si>
  <si>
    <t>KC 14</t>
  </si>
  <si>
    <t>KC 15</t>
  </si>
  <si>
    <t>KC 16</t>
  </si>
  <si>
    <t>KC 17</t>
  </si>
  <si>
    <t>KC 18</t>
  </si>
  <si>
    <t>KC 19</t>
  </si>
  <si>
    <t>KC 20</t>
  </si>
  <si>
    <t>KC 25</t>
  </si>
  <si>
    <t>Công ty cấp nước</t>
  </si>
  <si>
    <t>Lương theo hợp đồng</t>
  </si>
  <si>
    <t>(A)</t>
  </si>
  <si>
    <t>(1)</t>
  </si>
  <si>
    <t>(2)</t>
  </si>
  <si>
    <t>(3)</t>
  </si>
  <si>
    <t>(4)</t>
  </si>
  <si>
    <t xml:space="preserve">BP Quản lý </t>
  </si>
  <si>
    <t>Câu 1</t>
  </si>
  <si>
    <t>Số ngày</t>
  </si>
  <si>
    <t>Lương ghi trên hợp đồng</t>
  </si>
  <si>
    <t>Lương ngày phép</t>
  </si>
  <si>
    <t>Tổng lương</t>
  </si>
  <si>
    <t>Còn lại thực lĩnh</t>
  </si>
  <si>
    <t>Tổng tiền lương tháng này</t>
  </si>
  <si>
    <t>Tồn đầu</t>
  </si>
  <si>
    <t>Nhập</t>
  </si>
  <si>
    <t>Xuất</t>
  </si>
  <si>
    <t>Tồn cuối</t>
  </si>
  <si>
    <t>141</t>
  </si>
  <si>
    <t>Tạm ứng</t>
  </si>
  <si>
    <t>141.15</t>
  </si>
  <si>
    <t>Tạm ứng lương cho người lao động</t>
  </si>
  <si>
    <t>Thanh toán tiền điện - VAT</t>
  </si>
  <si>
    <t>PXK 01</t>
  </si>
  <si>
    <t>PXK 02</t>
  </si>
  <si>
    <t>Thanh toán tiền nước - VAT</t>
  </si>
  <si>
    <t>Bảng Khấu hao</t>
  </si>
  <si>
    <t>Chi phí trả trước - Dài hạn</t>
  </si>
  <si>
    <t>Chi phí trả trước - Ngắn hạn</t>
  </si>
  <si>
    <t>2422</t>
  </si>
  <si>
    <t>Thanh toán tiền nước - Dùng cho BP Quản lý</t>
  </si>
  <si>
    <t>Thanh toán tiền điện - Dùng cho BP Quản lý</t>
  </si>
  <si>
    <t>Chi phí lương - BP Trực tiếp</t>
  </si>
  <si>
    <t>Chi phí lương - BP Gián tiếp</t>
  </si>
  <si>
    <t>Chi phí lương - BP quản lý</t>
  </si>
  <si>
    <t>141.16</t>
  </si>
  <si>
    <t>KC 23</t>
  </si>
  <si>
    <t>KC 24</t>
  </si>
  <si>
    <t>Tạm ứng - Đỗ Đức Toàn</t>
  </si>
  <si>
    <t>Mua văn phòng phẩm dùng cho BP quản lý</t>
  </si>
  <si>
    <t>Mua văn phòng phẩm dùng cho BP quản lý - VAT</t>
  </si>
  <si>
    <t>GBN 015</t>
  </si>
  <si>
    <t xml:space="preserve">Khấu hao nhà cửa vật kiến trúc của Khu vực trực tiếp sản xuất </t>
  </si>
  <si>
    <t>Khấu hao nhà cửa vật kiến trúc của BP Quản lý</t>
  </si>
  <si>
    <t>K/c thuế GTGT không được được khấu trừ</t>
  </si>
  <si>
    <t>Giám đốc tiếp khách thanh toán bằng tiền mặt</t>
  </si>
  <si>
    <t>Giám đốc tiếp khách thanh toán bằng tiền mặt - VAT</t>
  </si>
  <si>
    <t>DT</t>
  </si>
  <si>
    <t>TTĐB</t>
  </si>
  <si>
    <t>VAT</t>
  </si>
  <si>
    <t>Chi thanh toán lương cuối tháng</t>
  </si>
  <si>
    <t>Thực lĩnh</t>
  </si>
  <si>
    <t>(5) = (2)-(3)-(4)</t>
  </si>
  <si>
    <t>Điểm bài làm</t>
  </si>
  <si>
    <t>Thang điểm</t>
  </si>
  <si>
    <t>Lương nghĩ việc riêng</t>
  </si>
  <si>
    <t>Công ty Luật Hoàng Gia</t>
  </si>
  <si>
    <t xml:space="preserve">Phân bổ chi phí trả trước dài hạn là Dụng cụ sản xuất </t>
  </si>
  <si>
    <t>360 Nguyễn Thị Minh Khai, Phường 5, Quận 3, TP.HCM</t>
  </si>
  <si>
    <t>CPSXKD dở dang - DV Karaoke và thức ăn chế biến</t>
  </si>
  <si>
    <t>DV karaoke</t>
  </si>
  <si>
    <t>Thức ăn</t>
  </si>
  <si>
    <t>Coca</t>
  </si>
  <si>
    <t>152.03</t>
  </si>
  <si>
    <t>Mì sợi</t>
  </si>
  <si>
    <t>Thịt bò</t>
  </si>
  <si>
    <t>Rau củ các loại</t>
  </si>
  <si>
    <t>Gas</t>
  </si>
  <si>
    <t>152.04</t>
  </si>
  <si>
    <t>Gia vị các loại</t>
  </si>
  <si>
    <t>152.05</t>
  </si>
  <si>
    <t>Nguyên liệu</t>
  </si>
  <si>
    <t>Đvt</t>
  </si>
  <si>
    <t>Số lượng</t>
  </si>
  <si>
    <t>Đơn giá</t>
  </si>
  <si>
    <t>Thành tiền (đ)</t>
  </si>
  <si>
    <t>Kg</t>
  </si>
  <si>
    <t>Hàng hóa</t>
  </si>
  <si>
    <t>Soda</t>
  </si>
  <si>
    <t>Lon</t>
  </si>
  <si>
    <t>Bia lon 333</t>
  </si>
  <si>
    <t>Tiền gửi - Ngân hàng Viettinbank</t>
  </si>
  <si>
    <t>Công ty dịch vụ vệ bảo vệ TLC</t>
  </si>
  <si>
    <t>Công ty Cường Thịnh</t>
  </si>
  <si>
    <t>HĐ 0002646</t>
  </si>
  <si>
    <t xml:space="preserve">Hóa đơn dịch vụ bảo vệ - Công ty dịch vụ vệ bảo vệ TLC </t>
  </si>
  <si>
    <t>Hóa đơn dịch vụ bảo vệ - Công ty dịch vụ vệ bảo vệ TLC - VAT</t>
  </si>
  <si>
    <t>Nộp thuế GTGT theo số dư nợ đầu tháng</t>
  </si>
  <si>
    <t>5112</t>
  </si>
  <si>
    <t>Doanh thu bán các thành phẩm</t>
  </si>
  <si>
    <t>Doanh thu bán thành phẩm - Thức ăn chế biến</t>
  </si>
  <si>
    <t>Doanh thu bán hàng hóa - Soda lon</t>
  </si>
  <si>
    <t>Thuế TTĐB phải nộp</t>
  </si>
  <si>
    <t>Thuế GTGT phải nộp</t>
  </si>
  <si>
    <t>So da</t>
  </si>
  <si>
    <t>Xuất kho nguyên liệu - Mì sợi</t>
  </si>
  <si>
    <t>Xuất kho nguyên liệu - Thịt bò</t>
  </si>
  <si>
    <t>Vay Ngân hàng trả nợ Công ty Cường Thịnh</t>
  </si>
  <si>
    <t>Trả một phần nợ vay ngắn hạn</t>
  </si>
  <si>
    <t>Ngân hàng trừ TK tiền gửi để trả lãi vay</t>
  </si>
  <si>
    <t>Doanh thu cung cấp dịch vụ - DV karaoke</t>
  </si>
  <si>
    <t>Thanh toán tiền nước - Dùng cho khách vệ sinh và chế biến</t>
  </si>
  <si>
    <t>Thanh toán tiền điện - Dùng cho karaoke và chế biến</t>
  </si>
  <si>
    <t>UNC 001</t>
  </si>
  <si>
    <t>UNC 002</t>
  </si>
  <si>
    <t>UNC 003</t>
  </si>
  <si>
    <t>Vay ngắn hạn - Ngân hàng Viettinbank</t>
  </si>
  <si>
    <t>Trừ BHXH, BHYT, BHTN</t>
  </si>
  <si>
    <t>Xuất kho nguyên liệu - Rau củ các loại</t>
  </si>
  <si>
    <t>Xuất kho nguyên liệu - Gia vị các loại</t>
  </si>
  <si>
    <t>Xuất kho nguyên liệu - Gas nấu bếp</t>
  </si>
  <si>
    <t>Gas nấu bếp</t>
  </si>
  <si>
    <t>Lương vào ngày thường</t>
  </si>
  <si>
    <t>3382</t>
  </si>
  <si>
    <t>Kinh phí công đoàn</t>
  </si>
  <si>
    <t>3383</t>
  </si>
  <si>
    <t>Bảo hiểm xã hội</t>
  </si>
  <si>
    <t>3384</t>
  </si>
  <si>
    <t>Bảo hiểm y tế</t>
  </si>
  <si>
    <t>3386</t>
  </si>
  <si>
    <t>Bảo hiểm thất nghiệp</t>
  </si>
  <si>
    <t>Trừ lương người lao động - BHXH</t>
  </si>
  <si>
    <t>Trừ lương người lao động - BHYT</t>
  </si>
  <si>
    <t>Trừ lương người lao động - BHTN</t>
  </si>
  <si>
    <t>Trích BHXH - BP trực tiếp</t>
  </si>
  <si>
    <t>Trích BHXH - BP gián tiếp</t>
  </si>
  <si>
    <t>Trích BHXH - BP quản lý</t>
  </si>
  <si>
    <t>Trích BHYT - BP trực tiếp</t>
  </si>
  <si>
    <t>Trích BHYT - BP gián tiếp</t>
  </si>
  <si>
    <t>Trích BHYT - BP quản lý</t>
  </si>
  <si>
    <t>Trích BHTN - BP trực tiếp</t>
  </si>
  <si>
    <t>Trích BHTN - BP gián tiếp</t>
  </si>
  <si>
    <t>Trích BHTN - BP quản lý</t>
  </si>
  <si>
    <t>Trích KPCĐ - BP trực tiếp</t>
  </si>
  <si>
    <t>Trích KPCĐ - BP gián tiếp</t>
  </si>
  <si>
    <t>Trích KPCĐ - BP quản lý</t>
  </si>
  <si>
    <t>Trừ lương người lao động (BHXH 8%)</t>
  </si>
  <si>
    <t>Trừ lương người lao động (BHYT 1,5%)</t>
  </si>
  <si>
    <t>Trừ lương người lao động (BHTN 1%)</t>
  </si>
  <si>
    <t>(5) = (2)+ (3)+(4)</t>
  </si>
  <si>
    <t>Trích BHXH (17,5%)</t>
  </si>
  <si>
    <t>Trích BHYT (3%)</t>
  </si>
  <si>
    <t>Trích BHTN (1%)</t>
  </si>
  <si>
    <t>Soda - lon</t>
  </si>
  <si>
    <t>Phải trả, phải nộp khác</t>
  </si>
  <si>
    <t>TTTƯ</t>
  </si>
  <si>
    <t xml:space="preserve">Xuất kho hàng hóa  - Nước ngọt </t>
  </si>
  <si>
    <t>UNC 004</t>
  </si>
  <si>
    <t>UNC 005</t>
  </si>
  <si>
    <t>Tiền lương</t>
  </si>
  <si>
    <t>ĐỀ 2</t>
  </si>
  <si>
    <t>Ông Nguyễn Thanh Huy</t>
  </si>
  <si>
    <t>Tiền lương ít nhất được trả khi làm thêm ban ngày vào Thứ sáu hàng tuần nhiều lần, tổng cộng 13 giờ.</t>
  </si>
  <si>
    <t>BẢNG THANH TOÁN LƯƠNG - THÁNG 11/2023</t>
  </si>
  <si>
    <t>CÁC KHOẢN CHI PHÍ TRÍCH THEO LƯƠNG - THÁNG 11/2023</t>
  </si>
  <si>
    <t>TRỪ LƯƠNG NGƯỜI LAO ĐỘNG - THÁNG 11/2023</t>
  </si>
  <si>
    <t>Tháng 11/2023</t>
  </si>
  <si>
    <t>Công ty TNHH Dịch vụ Ngôi Sao</t>
  </si>
  <si>
    <t>Tại ngày 30 tháng 11 năm 2023</t>
  </si>
  <si>
    <t>01/11/2023</t>
  </si>
  <si>
    <t>02/11/2023</t>
  </si>
  <si>
    <t>03/11/2023</t>
  </si>
  <si>
    <t>04/11/2023</t>
  </si>
  <si>
    <t>05/11/2023</t>
  </si>
  <si>
    <t>07/11/2023</t>
  </si>
  <si>
    <t>08/11/2023</t>
  </si>
  <si>
    <t>29/11/2023</t>
  </si>
  <si>
    <t>30/11/2023</t>
  </si>
  <si>
    <t>Tạm ứng - Nguyễn Thanh Huy</t>
  </si>
  <si>
    <t>TT tạm ứng ông Nguyễn Thanh Huy - Soda lon</t>
  </si>
  <si>
    <t>TT tạm ứng Nguyễn Thanh Huy - Soda lon - VAT</t>
  </si>
  <si>
    <t>Thu tiền tam ứng còn thừa - Nguyễn Thanh Huy</t>
  </si>
  <si>
    <t>Ngày 30 tháng 11 năm 2023</t>
  </si>
  <si>
    <t>PC 04</t>
  </si>
  <si>
    <t>Chi trái cây cúng thần tài</t>
  </si>
  <si>
    <t>PC 05</t>
  </si>
  <si>
    <t>KC 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</si>
</sst>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(* #,##0_);_(* \(#,##0\);_(* &quot;-&quot;_);_(@_)"/>
    <numFmt numFmtId="43" formatCode="_(* #,##0.00_);_(* \(#,##0.00\);_(* &quot;-&quot;??_);_(@_)"/>
    <numFmt numFmtId="164" formatCode="#,##0\ &quot;₫&quot;;\-#,##0\ &quot;₫&quot;"/>
    <numFmt numFmtId="165" formatCode="#,##0\ &quot;₫&quot;;[Red]\-#,##0\ &quot;₫&quot;"/>
    <numFmt numFmtId="166" formatCode="_-* #,##0\ _₫_-;\-* #,##0\ _₫_-;_-* &quot;-&quot;\ _₫_-;_-@_-"/>
    <numFmt numFmtId="167" formatCode="_-* #,##0.00\ _₫_-;\-* #,##0.00\ _₫_-;_-* &quot;-&quot;??\ _₫_-;_-@_-"/>
    <numFmt numFmtId="168" formatCode="_(* #,##0_);_(* \(#,##0\);_(* &quot;-&quot;??_);_(@_)"/>
    <numFmt numFmtId="169" formatCode="mm/dd/yy;@"/>
    <numFmt numFmtId="170" formatCode="_(* #,##0.00_);_(* \(#,##0.00\);_(* &quot;-&quot;_);_(@_)"/>
    <numFmt numFmtId="171" formatCode="_-* #,##0\ _₫_-;\-* #,##0\ _₫_-;_-* &quot;-&quot;??\ _₫_-;_-@_-"/>
    <numFmt numFmtId="172" formatCode="0.0"/>
  </numFmts>
  <fonts count="58" x14ac:knownFonts="1">
    <font>
      <sz val="12"/>
      <name val="VNI-Times"/>
    </font>
    <font>
      <sz val="12"/>
      <name val="VNI-Times"/>
    </font>
    <font>
      <sz val="8"/>
      <name val="VNI-Times"/>
    </font>
    <font>
      <sz val="12"/>
      <name val="VNI-Times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9"/>
      <color indexed="81"/>
      <name val="Tahoma"/>
      <family val="2"/>
    </font>
    <font>
      <sz val="12"/>
      <name val="VNI-Helve-Condense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2"/>
      <color indexed="81"/>
      <name val="Tahoma"/>
      <family val="2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u val="singleAccounting"/>
      <sz val="12"/>
      <color theme="1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i/>
      <sz val="12"/>
      <name val="Times New Roman"/>
      <family val="1"/>
    </font>
    <font>
      <sz val="12"/>
      <color rgb="FFFF0000"/>
      <name val="Times New Roman"/>
      <family val="1"/>
    </font>
    <font>
      <sz val="12"/>
      <color rgb="FF0000FF"/>
      <name val="Times New Roman"/>
      <family val="1"/>
    </font>
    <font>
      <b/>
      <sz val="12"/>
      <color rgb="FF0000FF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12"/>
      <color indexed="12"/>
      <name val="Times New Roman"/>
      <family val="1"/>
    </font>
    <font>
      <sz val="11"/>
      <name val="Times New Roman"/>
      <family val="1"/>
    </font>
    <font>
      <b/>
      <sz val="16"/>
      <name val="Times New Roman"/>
      <family val="1"/>
    </font>
    <font>
      <b/>
      <sz val="11.5"/>
      <name val="Times New Roman"/>
      <family val="1"/>
    </font>
    <font>
      <b/>
      <sz val="7"/>
      <name val="Times New Roman"/>
      <family val="1"/>
    </font>
    <font>
      <sz val="12"/>
      <color rgb="FF0000CC"/>
      <name val="Times New Roman"/>
      <family val="1"/>
    </font>
    <font>
      <sz val="12"/>
      <color indexed="10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b/>
      <i/>
      <sz val="11"/>
      <name val="Times New Roman"/>
      <family val="1"/>
    </font>
    <font>
      <i/>
      <sz val="11"/>
      <name val="Times New Roman"/>
      <family val="1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3"/>
      <name val="Times New Roman"/>
      <family val="1"/>
    </font>
    <font>
      <sz val="11.5"/>
      <name val="Times New Roman"/>
      <family val="1"/>
    </font>
    <font>
      <b/>
      <i/>
      <sz val="11.5"/>
      <name val="Times New Roman"/>
      <family val="1"/>
    </font>
    <font>
      <i/>
      <sz val="11.5"/>
      <name val="Times New Roman"/>
      <family val="1"/>
    </font>
    <font>
      <b/>
      <u/>
      <sz val="12"/>
      <color rgb="FFFF0000"/>
      <name val="Times New Roman"/>
      <family val="1"/>
    </font>
    <font>
      <b/>
      <u/>
      <sz val="12"/>
      <color rgb="FF000000"/>
      <name val="Times New Roman"/>
      <family val="1"/>
    </font>
    <font>
      <b/>
      <u/>
      <sz val="11"/>
      <color rgb="FF000000"/>
      <name val="Times New Roman"/>
      <family val="1"/>
    </font>
    <font>
      <sz val="11"/>
      <color rgb="FF0000CC"/>
      <name val="Times New Roman"/>
      <family val="1"/>
    </font>
    <font>
      <b/>
      <sz val="11"/>
      <color rgb="FF0000CC"/>
      <name val="Times New Roman"/>
      <family val="1"/>
    </font>
    <font>
      <b/>
      <u/>
      <sz val="1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2E59B"/>
        <bgColor indexed="64"/>
      </patternFill>
    </fill>
    <fill>
      <patternFill patternType="solid">
        <fgColor rgb="FFFFFFA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6" fillId="0" borderId="0"/>
    <xf numFmtId="165" fontId="3" fillId="0" borderId="0" applyFont="0" applyFill="0" applyBorder="0" applyAlignment="0" applyProtection="0"/>
    <xf numFmtId="0" fontId="10" fillId="0" borderId="0"/>
    <xf numFmtId="164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24">
    <xf numFmtId="0" fontId="0" fillId="0" borderId="0" xfId="0"/>
    <xf numFmtId="0" fontId="7" fillId="0" borderId="0" xfId="0" applyFont="1"/>
    <xf numFmtId="168" fontId="7" fillId="0" borderId="0" xfId="1" applyNumberFormat="1" applyFont="1" applyBorder="1"/>
    <xf numFmtId="49" fontId="7" fillId="0" borderId="1" xfId="1" applyNumberFormat="1" applyFont="1" applyBorder="1" applyAlignment="1">
      <alignment horizontal="center"/>
    </xf>
    <xf numFmtId="168" fontId="7" fillId="0" borderId="0" xfId="1" applyNumberFormat="1" applyFont="1"/>
    <xf numFmtId="168" fontId="7" fillId="0" borderId="1" xfId="1" applyNumberFormat="1" applyFont="1" applyBorder="1" applyAlignment="1">
      <alignment horizontal="left"/>
    </xf>
    <xf numFmtId="168" fontId="7" fillId="0" borderId="0" xfId="1" applyNumberFormat="1" applyFont="1" applyAlignment="1">
      <alignment horizontal="center"/>
    </xf>
    <xf numFmtId="168" fontId="8" fillId="0" borderId="0" xfId="1" applyNumberFormat="1" applyFont="1" applyAlignment="1">
      <alignment horizontal="centerContinuous" vertical="center"/>
    </xf>
    <xf numFmtId="168" fontId="7" fillId="0" borderId="0" xfId="1" applyNumberFormat="1" applyFont="1" applyAlignment="1">
      <alignment horizontal="centerContinuous" vertical="center"/>
    </xf>
    <xf numFmtId="168" fontId="8" fillId="0" borderId="0" xfId="1" applyNumberFormat="1" applyFont="1" applyAlignment="1">
      <alignment horizontal="centerContinuous"/>
    </xf>
    <xf numFmtId="168" fontId="7" fillId="0" borderId="0" xfId="1" applyNumberFormat="1" applyFont="1" applyAlignment="1">
      <alignment horizontal="centerContinuous"/>
    </xf>
    <xf numFmtId="168" fontId="7" fillId="0" borderId="0" xfId="1" applyNumberFormat="1" applyFont="1" applyFill="1" applyBorder="1" applyAlignment="1">
      <alignment horizontal="center" vertical="center"/>
    </xf>
    <xf numFmtId="168" fontId="7" fillId="0" borderId="0" xfId="1" applyNumberFormat="1" applyFont="1" applyFill="1"/>
    <xf numFmtId="168" fontId="7" fillId="8" borderId="2" xfId="1" applyNumberFormat="1" applyFont="1" applyFill="1" applyBorder="1" applyAlignment="1">
      <alignment horizontal="center" vertical="center"/>
    </xf>
    <xf numFmtId="168" fontId="7" fillId="0" borderId="5" xfId="1" quotePrefix="1" applyNumberFormat="1" applyFont="1" applyBorder="1" applyAlignment="1">
      <alignment horizontal="center"/>
    </xf>
    <xf numFmtId="49" fontId="7" fillId="0" borderId="5" xfId="1" applyNumberFormat="1" applyFont="1" applyBorder="1" applyAlignment="1">
      <alignment horizontal="center"/>
    </xf>
    <xf numFmtId="168" fontId="7" fillId="0" borderId="5" xfId="1" applyNumberFormat="1" applyFont="1" applyBorder="1" applyAlignment="1">
      <alignment horizontal="left"/>
    </xf>
    <xf numFmtId="168" fontId="7" fillId="0" borderId="5" xfId="1" applyNumberFormat="1" applyFont="1" applyBorder="1" applyAlignment="1">
      <alignment horizontal="center"/>
    </xf>
    <xf numFmtId="168" fontId="7" fillId="0" borderId="5" xfId="1" applyNumberFormat="1" applyFont="1" applyBorder="1" applyAlignment="1">
      <alignment horizontal="right"/>
    </xf>
    <xf numFmtId="168" fontId="7" fillId="0" borderId="1" xfId="1" quotePrefix="1" applyNumberFormat="1" applyFont="1" applyBorder="1" applyAlignment="1">
      <alignment horizontal="center"/>
    </xf>
    <xf numFmtId="168" fontId="7" fillId="0" borderId="1" xfId="1" applyNumberFormat="1" applyFont="1" applyBorder="1" applyAlignment="1">
      <alignment horizontal="center"/>
    </xf>
    <xf numFmtId="168" fontId="7" fillId="0" borderId="1" xfId="1" applyNumberFormat="1" applyFont="1" applyBorder="1" applyAlignment="1">
      <alignment horizontal="right"/>
    </xf>
    <xf numFmtId="168" fontId="7" fillId="0" borderId="6" xfId="1" quotePrefix="1" applyNumberFormat="1" applyFont="1" applyBorder="1" applyAlignment="1">
      <alignment horizontal="center"/>
    </xf>
    <xf numFmtId="49" fontId="7" fillId="0" borderId="6" xfId="1" quotePrefix="1" applyNumberFormat="1" applyFont="1" applyBorder="1" applyAlignment="1">
      <alignment horizontal="center"/>
    </xf>
    <xf numFmtId="168" fontId="7" fillId="0" borderId="6" xfId="1" applyNumberFormat="1" applyFont="1" applyBorder="1" applyAlignment="1">
      <alignment horizontal="left"/>
    </xf>
    <xf numFmtId="168" fontId="7" fillId="0" borderId="6" xfId="1" applyNumberFormat="1" applyFont="1" applyBorder="1" applyAlignment="1">
      <alignment horizontal="center"/>
    </xf>
    <xf numFmtId="168" fontId="7" fillId="0" borderId="6" xfId="1" applyNumberFormat="1" applyFont="1" applyBorder="1" applyAlignment="1">
      <alignment horizontal="right"/>
    </xf>
    <xf numFmtId="168" fontId="7" fillId="8" borderId="2" xfId="1" applyNumberFormat="1" applyFont="1" applyFill="1" applyBorder="1"/>
    <xf numFmtId="168" fontId="7" fillId="8" borderId="2" xfId="1" quotePrefix="1" applyNumberFormat="1" applyFont="1" applyFill="1" applyBorder="1" applyAlignment="1">
      <alignment horizontal="center"/>
    </xf>
    <xf numFmtId="168" fontId="8" fillId="8" borderId="2" xfId="1" applyNumberFormat="1" applyFont="1" applyFill="1" applyBorder="1" applyAlignment="1"/>
    <xf numFmtId="168" fontId="8" fillId="8" borderId="2" xfId="1" applyNumberFormat="1" applyFont="1" applyFill="1" applyBorder="1"/>
    <xf numFmtId="168" fontId="7" fillId="0" borderId="0" xfId="1" applyNumberFormat="1" applyFont="1" applyBorder="1" applyAlignment="1">
      <alignment horizontal="center"/>
    </xf>
    <xf numFmtId="168" fontId="8" fillId="0" borderId="0" xfId="1" applyNumberFormat="1" applyFont="1"/>
    <xf numFmtId="168" fontId="11" fillId="0" borderId="10" xfId="1" applyNumberFormat="1" applyFont="1" applyBorder="1" applyAlignment="1">
      <alignment horizontal="right" wrapText="1"/>
    </xf>
    <xf numFmtId="168" fontId="0" fillId="0" borderId="0" xfId="1" applyNumberFormat="1" applyFont="1"/>
    <xf numFmtId="168" fontId="12" fillId="0" borderId="10" xfId="1" applyNumberFormat="1" applyFont="1" applyBorder="1" applyAlignment="1">
      <alignment horizontal="right" wrapText="1"/>
    </xf>
    <xf numFmtId="9" fontId="0" fillId="0" borderId="0" xfId="0" applyNumberFormat="1"/>
    <xf numFmtId="0" fontId="0" fillId="0" borderId="0" xfId="0" applyAlignment="1">
      <alignment horizontal="center"/>
    </xf>
    <xf numFmtId="168" fontId="13" fillId="7" borderId="10" xfId="1" applyNumberFormat="1" applyFont="1" applyFill="1" applyBorder="1" applyAlignment="1">
      <alignment horizontal="right" wrapText="1"/>
    </xf>
    <xf numFmtId="168" fontId="14" fillId="7" borderId="10" xfId="1" applyNumberFormat="1" applyFont="1" applyFill="1" applyBorder="1" applyAlignment="1">
      <alignment horizontal="right" wrapText="1"/>
    </xf>
    <xf numFmtId="3" fontId="16" fillId="0" borderId="0" xfId="0" applyNumberFormat="1" applyFont="1" applyAlignment="1">
      <alignment horizontal="right" vertical="center" wrapText="1"/>
    </xf>
    <xf numFmtId="3" fontId="16" fillId="0" borderId="0" xfId="0" applyNumberFormat="1" applyFont="1" applyAlignment="1">
      <alignment vertical="center" wrapText="1"/>
    </xf>
    <xf numFmtId="0" fontId="17" fillId="0" borderId="0" xfId="0" applyFont="1" applyAlignment="1">
      <alignment horizontal="justify" vertical="center" wrapText="1"/>
    </xf>
    <xf numFmtId="3" fontId="17" fillId="0" borderId="0" xfId="0" applyNumberFormat="1" applyFont="1" applyAlignment="1">
      <alignment horizontal="right" vertical="center" wrapText="1"/>
    </xf>
    <xf numFmtId="0" fontId="16" fillId="0" borderId="14" xfId="0" applyFont="1" applyBorder="1" applyAlignment="1">
      <alignment horizontal="justify" vertical="center" wrapText="1"/>
    </xf>
    <xf numFmtId="3" fontId="16" fillId="0" borderId="11" xfId="0" applyNumberFormat="1" applyFont="1" applyBorder="1" applyAlignment="1">
      <alignment horizontal="right" vertical="center" wrapText="1"/>
    </xf>
    <xf numFmtId="0" fontId="17" fillId="0" borderId="15" xfId="0" applyFont="1" applyBorder="1" applyAlignment="1">
      <alignment horizontal="justify" vertical="center" wrapText="1"/>
    </xf>
    <xf numFmtId="3" fontId="17" fillId="0" borderId="13" xfId="0" applyNumberFormat="1" applyFont="1" applyBorder="1" applyAlignment="1">
      <alignment horizontal="right" vertical="center" wrapText="1"/>
    </xf>
    <xf numFmtId="3" fontId="17" fillId="0" borderId="16" xfId="0" applyNumberFormat="1" applyFont="1" applyBorder="1" applyAlignment="1">
      <alignment horizontal="right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18" xfId="0" quotePrefix="1" applyFont="1" applyBorder="1" applyAlignment="1">
      <alignment horizontal="center" vertical="center" wrapText="1"/>
    </xf>
    <xf numFmtId="0" fontId="18" fillId="0" borderId="0" xfId="0" applyFont="1"/>
    <xf numFmtId="0" fontId="19" fillId="0" borderId="0" xfId="0" applyFont="1"/>
    <xf numFmtId="171" fontId="20" fillId="0" borderId="0" xfId="1" applyNumberFormat="1" applyFont="1" applyAlignment="1">
      <alignment horizontal="right"/>
    </xf>
    <xf numFmtId="0" fontId="18" fillId="0" borderId="0" xfId="0" applyFont="1" applyAlignment="1">
      <alignment horizontal="left" indent="2"/>
    </xf>
    <xf numFmtId="171" fontId="18" fillId="0" borderId="0" xfId="1" applyNumberFormat="1" applyFont="1"/>
    <xf numFmtId="0" fontId="19" fillId="0" borderId="0" xfId="0" applyFont="1" applyAlignment="1">
      <alignment horizontal="justify" vertical="center"/>
    </xf>
    <xf numFmtId="171" fontId="19" fillId="0" borderId="0" xfId="1" applyNumberFormat="1" applyFont="1"/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horizontal="justify" vertical="center"/>
    </xf>
    <xf numFmtId="3" fontId="22" fillId="0" borderId="0" xfId="0" applyNumberFormat="1" applyFont="1" applyAlignment="1">
      <alignment horizontal="right" vertical="center"/>
    </xf>
    <xf numFmtId="0" fontId="21" fillId="0" borderId="0" xfId="0" applyFont="1"/>
    <xf numFmtId="0" fontId="21" fillId="0" borderId="0" xfId="0" applyFont="1" applyAlignment="1">
      <alignment horizontal="left" indent="2"/>
    </xf>
    <xf numFmtId="14" fontId="21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0" fontId="24" fillId="0" borderId="0" xfId="0" applyFont="1"/>
    <xf numFmtId="41" fontId="21" fillId="0" borderId="0" xfId="2" applyFont="1" applyAlignment="1">
      <alignment horizontal="center"/>
    </xf>
    <xf numFmtId="0" fontId="21" fillId="0" borderId="0" xfId="0" applyFont="1" applyAlignment="1">
      <alignment horizontal="center"/>
    </xf>
    <xf numFmtId="0" fontId="24" fillId="0" borderId="0" xfId="0" applyFont="1" applyAlignment="1">
      <alignment horizontal="centerContinuous"/>
    </xf>
    <xf numFmtId="14" fontId="21" fillId="0" borderId="0" xfId="0" applyNumberFormat="1" applyFont="1" applyAlignment="1">
      <alignment horizontal="centerContinuous"/>
    </xf>
    <xf numFmtId="0" fontId="21" fillId="0" borderId="0" xfId="0" applyFont="1" applyAlignment="1">
      <alignment horizontal="centerContinuous"/>
    </xf>
    <xf numFmtId="41" fontId="21" fillId="0" borderId="0" xfId="2" applyFont="1" applyAlignment="1">
      <alignment horizontal="centerContinuous"/>
    </xf>
    <xf numFmtId="41" fontId="21" fillId="0" borderId="0" xfId="2" applyFont="1" applyFill="1" applyAlignment="1">
      <alignment horizontal="centerContinuous"/>
    </xf>
    <xf numFmtId="41" fontId="21" fillId="0" borderId="0" xfId="2" applyFont="1" applyFill="1"/>
    <xf numFmtId="41" fontId="24" fillId="0" borderId="0" xfId="2" applyFont="1" applyAlignment="1">
      <alignment horizontal="centerContinuous"/>
    </xf>
    <xf numFmtId="41" fontId="21" fillId="0" borderId="0" xfId="2" applyFont="1" applyFill="1" applyAlignment="1">
      <alignment horizontal="center"/>
    </xf>
    <xf numFmtId="0" fontId="21" fillId="0" borderId="0" xfId="0" applyFont="1" applyAlignment="1">
      <alignment horizontal="left"/>
    </xf>
    <xf numFmtId="41" fontId="21" fillId="0" borderId="0" xfId="2" applyFont="1" applyAlignment="1">
      <alignment horizontal="right"/>
    </xf>
    <xf numFmtId="168" fontId="24" fillId="0" borderId="0" xfId="1" quotePrefix="1" applyNumberFormat="1" applyFont="1" applyFill="1" applyBorder="1" applyAlignment="1">
      <alignment horizontal="left"/>
    </xf>
    <xf numFmtId="41" fontId="25" fillId="0" borderId="0" xfId="2" applyFont="1" applyAlignment="1">
      <alignment horizontal="center"/>
    </xf>
    <xf numFmtId="41" fontId="26" fillId="0" borderId="0" xfId="2" applyFont="1" applyFill="1" applyAlignment="1">
      <alignment horizontal="center"/>
    </xf>
    <xf numFmtId="41" fontId="24" fillId="0" borderId="0" xfId="2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Continuous"/>
    </xf>
    <xf numFmtId="0" fontId="24" fillId="3" borderId="2" xfId="0" applyFont="1" applyFill="1" applyBorder="1" applyAlignment="1">
      <alignment horizontal="center" vertical="center" wrapText="1"/>
    </xf>
    <xf numFmtId="14" fontId="24" fillId="3" borderId="2" xfId="0" applyNumberFormat="1" applyFont="1" applyFill="1" applyBorder="1" applyAlignment="1">
      <alignment horizontal="center" vertical="center" wrapText="1"/>
    </xf>
    <xf numFmtId="49" fontId="24" fillId="3" borderId="2" xfId="0" applyNumberFormat="1" applyFont="1" applyFill="1" applyBorder="1" applyAlignment="1">
      <alignment horizontal="center" vertical="center" wrapText="1"/>
    </xf>
    <xf numFmtId="49" fontId="24" fillId="4" borderId="2" xfId="2" applyNumberFormat="1" applyFont="1" applyFill="1" applyBorder="1" applyAlignment="1">
      <alignment horizontal="center" vertical="center" wrapText="1"/>
    </xf>
    <xf numFmtId="0" fontId="24" fillId="3" borderId="2" xfId="0" applyFont="1" applyFill="1" applyBorder="1" applyAlignment="1">
      <alignment horizontal="center"/>
    </xf>
    <xf numFmtId="0" fontId="24" fillId="8" borderId="2" xfId="0" applyFont="1" applyFill="1" applyBorder="1" applyAlignment="1">
      <alignment horizontal="center"/>
    </xf>
    <xf numFmtId="49" fontId="24" fillId="3" borderId="2" xfId="0" applyNumberFormat="1" applyFont="1" applyFill="1" applyBorder="1" applyAlignment="1">
      <alignment horizontal="center"/>
    </xf>
    <xf numFmtId="41" fontId="24" fillId="0" borderId="0" xfId="2" applyFont="1" applyFill="1" applyBorder="1" applyAlignment="1">
      <alignment horizontal="center"/>
    </xf>
    <xf numFmtId="49" fontId="24" fillId="4" borderId="2" xfId="2" applyNumberFormat="1" applyFont="1" applyFill="1" applyBorder="1" applyAlignment="1">
      <alignment horizontal="center"/>
    </xf>
    <xf numFmtId="49" fontId="24" fillId="4" borderId="2" xfId="0" applyNumberFormat="1" applyFont="1" applyFill="1" applyBorder="1" applyAlignment="1">
      <alignment horizontal="center"/>
    </xf>
    <xf numFmtId="0" fontId="24" fillId="3" borderId="3" xfId="0" applyFont="1" applyFill="1" applyBorder="1" applyAlignment="1">
      <alignment horizontal="center"/>
    </xf>
    <xf numFmtId="0" fontId="24" fillId="8" borderId="3" xfId="0" applyFont="1" applyFill="1" applyBorder="1" applyAlignment="1">
      <alignment horizontal="center"/>
    </xf>
    <xf numFmtId="41" fontId="21" fillId="0" borderId="0" xfId="2" applyFont="1" applyFill="1" applyBorder="1"/>
    <xf numFmtId="49" fontId="24" fillId="4" borderId="5" xfId="2" applyNumberFormat="1" applyFont="1" applyFill="1" applyBorder="1" applyAlignment="1">
      <alignment horizontal="center"/>
    </xf>
    <xf numFmtId="168" fontId="24" fillId="4" borderId="5" xfId="1" applyNumberFormat="1" applyFont="1" applyFill="1" applyBorder="1" applyAlignment="1">
      <alignment horizontal="center"/>
    </xf>
    <xf numFmtId="14" fontId="21" fillId="0" borderId="3" xfId="0" quotePrefix="1" applyNumberFormat="1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14" fontId="21" fillId="0" borderId="3" xfId="0" applyNumberFormat="1" applyFont="1" applyBorder="1" applyAlignment="1">
      <alignment horizontal="center"/>
    </xf>
    <xf numFmtId="0" fontId="21" fillId="0" borderId="5" xfId="0" applyFont="1" applyBorder="1"/>
    <xf numFmtId="49" fontId="21" fillId="0" borderId="5" xfId="0" applyNumberFormat="1" applyFont="1" applyBorder="1" applyAlignment="1">
      <alignment horizontal="center"/>
    </xf>
    <xf numFmtId="0" fontId="21" fillId="0" borderId="5" xfId="0" quotePrefix="1" applyFont="1" applyBorder="1" applyAlignment="1">
      <alignment horizontal="center"/>
    </xf>
    <xf numFmtId="0" fontId="21" fillId="8" borderId="5" xfId="0" quotePrefix="1" applyFont="1" applyFill="1" applyBorder="1" applyAlignment="1">
      <alignment horizontal="center"/>
    </xf>
    <xf numFmtId="49" fontId="28" fillId="0" borderId="5" xfId="0" applyNumberFormat="1" applyFont="1" applyBorder="1" applyAlignment="1">
      <alignment horizontal="center"/>
    </xf>
    <xf numFmtId="168" fontId="21" fillId="0" borderId="5" xfId="4" applyNumberFormat="1" applyFont="1" applyBorder="1" applyAlignment="1">
      <alignment horizontal="left"/>
    </xf>
    <xf numFmtId="41" fontId="21" fillId="0" borderId="0" xfId="1" quotePrefix="1" applyNumberFormat="1" applyFont="1" applyFill="1" applyBorder="1" applyAlignment="1">
      <alignment horizontal="right"/>
    </xf>
    <xf numFmtId="14" fontId="21" fillId="0" borderId="1" xfId="2" applyNumberFormat="1" applyFont="1" applyBorder="1" applyAlignment="1">
      <alignment horizontal="center"/>
    </xf>
    <xf numFmtId="41" fontId="21" fillId="0" borderId="1" xfId="2" quotePrefix="1" applyFont="1" applyBorder="1" applyAlignment="1">
      <alignment horizontal="center"/>
    </xf>
    <xf numFmtId="14" fontId="21" fillId="0" borderId="1" xfId="2" quotePrefix="1" applyNumberFormat="1" applyFont="1" applyBorder="1" applyAlignment="1">
      <alignment horizontal="center"/>
    </xf>
    <xf numFmtId="41" fontId="21" fillId="0" borderId="1" xfId="2" quotePrefix="1" applyFont="1" applyBorder="1"/>
    <xf numFmtId="49" fontId="21" fillId="0" borderId="1" xfId="2" quotePrefix="1" applyNumberFormat="1" applyFont="1" applyFill="1" applyBorder="1" applyAlignment="1">
      <alignment horizontal="left" indent="1"/>
    </xf>
    <xf numFmtId="168" fontId="21" fillId="0" borderId="1" xfId="1" quotePrefix="1" applyNumberFormat="1" applyFont="1" applyBorder="1"/>
    <xf numFmtId="14" fontId="21" fillId="0" borderId="1" xfId="0" quotePrefix="1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7" xfId="5" applyFont="1" applyBorder="1"/>
    <xf numFmtId="49" fontId="21" fillId="0" borderId="1" xfId="0" applyNumberFormat="1" applyFont="1" applyBorder="1" applyAlignment="1">
      <alignment horizontal="center"/>
    </xf>
    <xf numFmtId="0" fontId="21" fillId="0" borderId="1" xfId="0" quotePrefix="1" applyFont="1" applyBorder="1" applyAlignment="1">
      <alignment horizontal="center"/>
    </xf>
    <xf numFmtId="0" fontId="21" fillId="8" borderId="1" xfId="0" quotePrefix="1" applyFont="1" applyFill="1" applyBorder="1" applyAlignment="1">
      <alignment horizontal="center"/>
    </xf>
    <xf numFmtId="49" fontId="28" fillId="0" borderId="1" xfId="3" applyNumberFormat="1" applyFont="1" applyBorder="1" applyAlignment="1">
      <alignment horizontal="left" indent="1"/>
    </xf>
    <xf numFmtId="168" fontId="21" fillId="0" borderId="1" xfId="4" applyNumberFormat="1" applyFont="1" applyBorder="1" applyAlignment="1">
      <alignment horizontal="left"/>
    </xf>
    <xf numFmtId="3" fontId="21" fillId="0" borderId="0" xfId="1" quotePrefix="1" applyNumberFormat="1" applyFont="1" applyFill="1" applyBorder="1" applyAlignment="1">
      <alignment horizontal="right"/>
    </xf>
    <xf numFmtId="14" fontId="21" fillId="0" borderId="1" xfId="0" applyNumberFormat="1" applyFont="1" applyBorder="1" applyAlignment="1">
      <alignment horizontal="center"/>
    </xf>
    <xf numFmtId="49" fontId="21" fillId="0" borderId="1" xfId="0" quotePrefix="1" applyNumberFormat="1" applyFont="1" applyBorder="1" applyAlignment="1">
      <alignment horizontal="center"/>
    </xf>
    <xf numFmtId="49" fontId="21" fillId="8" borderId="1" xfId="0" quotePrefix="1" applyNumberFormat="1" applyFont="1" applyFill="1" applyBorder="1" applyAlignment="1">
      <alignment horizontal="center"/>
    </xf>
    <xf numFmtId="49" fontId="21" fillId="6" borderId="1" xfId="0" applyNumberFormat="1" applyFont="1" applyFill="1" applyBorder="1" applyAlignment="1">
      <alignment horizontal="left"/>
    </xf>
    <xf numFmtId="49" fontId="21" fillId="8" borderId="1" xfId="0" applyNumberFormat="1" applyFont="1" applyFill="1" applyBorder="1" applyAlignment="1">
      <alignment horizontal="center"/>
    </xf>
    <xf numFmtId="168" fontId="21" fillId="0" borderId="1" xfId="4" applyNumberFormat="1" applyFont="1" applyFill="1" applyBorder="1" applyAlignment="1">
      <alignment horizontal="left"/>
    </xf>
    <xf numFmtId="168" fontId="21" fillId="0" borderId="1" xfId="1" applyNumberFormat="1" applyFont="1" applyFill="1" applyBorder="1" applyAlignment="1">
      <alignment horizontal="left"/>
    </xf>
    <xf numFmtId="49" fontId="21" fillId="6" borderId="7" xfId="0" applyNumberFormat="1" applyFont="1" applyFill="1" applyBorder="1" applyAlignment="1">
      <alignment horizontal="left"/>
    </xf>
    <xf numFmtId="168" fontId="21" fillId="0" borderId="1" xfId="1" applyNumberFormat="1" applyFont="1" applyBorder="1" applyAlignment="1">
      <alignment horizontal="left"/>
    </xf>
    <xf numFmtId="49" fontId="21" fillId="0" borderId="8" xfId="0" applyNumberFormat="1" applyFont="1" applyBorder="1" applyAlignment="1">
      <alignment horizontal="center"/>
    </xf>
    <xf numFmtId="49" fontId="21" fillId="0" borderId="8" xfId="0" quotePrefix="1" applyNumberFormat="1" applyFont="1" applyBorder="1" applyAlignment="1">
      <alignment horizontal="center"/>
    </xf>
    <xf numFmtId="49" fontId="21" fillId="8" borderId="8" xfId="0" quotePrefix="1" applyNumberFormat="1" applyFont="1" applyFill="1" applyBorder="1" applyAlignment="1">
      <alignment horizontal="center"/>
    </xf>
    <xf numFmtId="168" fontId="21" fillId="0" borderId="8" xfId="1" quotePrefix="1" applyNumberFormat="1" applyFont="1" applyBorder="1"/>
    <xf numFmtId="0" fontId="21" fillId="0" borderId="8" xfId="0" quotePrefix="1" applyFont="1" applyBorder="1" applyAlignment="1">
      <alignment horizontal="center"/>
    </xf>
    <xf numFmtId="0" fontId="21" fillId="8" borderId="8" xfId="0" quotePrefix="1" applyFont="1" applyFill="1" applyBorder="1" applyAlignment="1">
      <alignment horizontal="center"/>
    </xf>
    <xf numFmtId="168" fontId="21" fillId="0" borderId="8" xfId="4" applyNumberFormat="1" applyFont="1" applyBorder="1" applyAlignment="1">
      <alignment horizontal="left"/>
    </xf>
    <xf numFmtId="49" fontId="21" fillId="6" borderId="8" xfId="0" applyNumberFormat="1" applyFont="1" applyFill="1" applyBorder="1" applyAlignment="1">
      <alignment horizontal="left"/>
    </xf>
    <xf numFmtId="14" fontId="21" fillId="0" borderId="8" xfId="0" applyNumberFormat="1" applyFont="1" applyBorder="1" applyAlignment="1">
      <alignment horizontal="center"/>
    </xf>
    <xf numFmtId="14" fontId="21" fillId="0" borderId="8" xfId="0" quotePrefix="1" applyNumberFormat="1" applyFont="1" applyBorder="1" applyAlignment="1">
      <alignment horizontal="center"/>
    </xf>
    <xf numFmtId="14" fontId="21" fillId="0" borderId="6" xfId="2" applyNumberFormat="1" applyFont="1" applyBorder="1" applyAlignment="1">
      <alignment horizontal="center"/>
    </xf>
    <xf numFmtId="14" fontId="21" fillId="0" borderId="6" xfId="0" applyNumberFormat="1" applyFont="1" applyBorder="1" applyAlignment="1">
      <alignment horizontal="center"/>
    </xf>
    <xf numFmtId="49" fontId="21" fillId="0" borderId="6" xfId="0" applyNumberFormat="1" applyFont="1" applyBorder="1" applyAlignment="1">
      <alignment horizontal="left"/>
    </xf>
    <xf numFmtId="49" fontId="21" fillId="0" borderId="6" xfId="0" applyNumberFormat="1" applyFont="1" applyBorder="1" applyAlignment="1">
      <alignment horizontal="center"/>
    </xf>
    <xf numFmtId="49" fontId="21" fillId="8" borderId="6" xfId="0" applyNumberFormat="1" applyFont="1" applyFill="1" applyBorder="1" applyAlignment="1">
      <alignment horizontal="center"/>
    </xf>
    <xf numFmtId="49" fontId="28" fillId="0" borderId="6" xfId="0" applyNumberFormat="1" applyFont="1" applyBorder="1" applyAlignment="1">
      <alignment horizontal="center"/>
    </xf>
    <xf numFmtId="3" fontId="21" fillId="0" borderId="6" xfId="1" applyNumberFormat="1" applyFont="1" applyBorder="1" applyAlignment="1">
      <alignment horizontal="right"/>
    </xf>
    <xf numFmtId="0" fontId="21" fillId="5" borderId="2" xfId="0" applyFont="1" applyFill="1" applyBorder="1" applyAlignment="1">
      <alignment horizontal="center"/>
    </xf>
    <xf numFmtId="0" fontId="21" fillId="5" borderId="4" xfId="0" applyFont="1" applyFill="1" applyBorder="1" applyAlignment="1">
      <alignment horizontal="center"/>
    </xf>
    <xf numFmtId="0" fontId="24" fillId="5" borderId="4" xfId="0" applyFont="1" applyFill="1" applyBorder="1" applyAlignment="1">
      <alignment horizontal="center"/>
    </xf>
    <xf numFmtId="0" fontId="24" fillId="5" borderId="4" xfId="0" applyFont="1" applyFill="1" applyBorder="1"/>
    <xf numFmtId="49" fontId="24" fillId="5" borderId="4" xfId="0" applyNumberFormat="1" applyFont="1" applyFill="1" applyBorder="1"/>
    <xf numFmtId="41" fontId="24" fillId="5" borderId="4" xfId="2" applyFont="1" applyFill="1" applyBorder="1"/>
    <xf numFmtId="41" fontId="24" fillId="0" borderId="0" xfId="2" applyFont="1" applyFill="1" applyBorder="1"/>
    <xf numFmtId="14" fontId="21" fillId="5" borderId="1" xfId="2" applyNumberFormat="1" applyFont="1" applyFill="1" applyBorder="1" applyAlignment="1">
      <alignment horizontal="center"/>
    </xf>
    <xf numFmtId="41" fontId="21" fillId="5" borderId="1" xfId="2" applyFont="1" applyFill="1" applyBorder="1" applyAlignment="1">
      <alignment horizontal="center"/>
    </xf>
    <xf numFmtId="41" fontId="24" fillId="5" borderId="1" xfId="2" applyFont="1" applyFill="1" applyBorder="1" applyAlignment="1">
      <alignment horizontal="center"/>
    </xf>
    <xf numFmtId="41" fontId="21" fillId="5" borderId="1" xfId="2" applyFont="1" applyFill="1" applyBorder="1"/>
    <xf numFmtId="41" fontId="21" fillId="5" borderId="2" xfId="2" applyFont="1" applyFill="1" applyBorder="1"/>
    <xf numFmtId="41" fontId="24" fillId="5" borderId="1" xfId="2" applyFont="1" applyFill="1" applyBorder="1"/>
    <xf numFmtId="41" fontId="21" fillId="0" borderId="0" xfId="2" applyFont="1" applyBorder="1"/>
    <xf numFmtId="170" fontId="21" fillId="0" borderId="0" xfId="2" applyNumberFormat="1" applyFont="1" applyFill="1" applyBorder="1"/>
    <xf numFmtId="14" fontId="21" fillId="4" borderId="2" xfId="2" applyNumberFormat="1" applyFont="1" applyFill="1" applyBorder="1" applyAlignment="1">
      <alignment horizontal="center"/>
    </xf>
    <xf numFmtId="41" fontId="21" fillId="4" borderId="2" xfId="2" applyFont="1" applyFill="1" applyBorder="1" applyAlignment="1">
      <alignment horizontal="center"/>
    </xf>
    <xf numFmtId="41" fontId="24" fillId="4" borderId="2" xfId="2" applyFont="1" applyFill="1" applyBorder="1" applyAlignment="1">
      <alignment horizontal="center"/>
    </xf>
    <xf numFmtId="168" fontId="24" fillId="4" borderId="2" xfId="1" quotePrefix="1" applyNumberFormat="1" applyFont="1" applyFill="1" applyBorder="1" applyAlignment="1">
      <alignment horizontal="left"/>
    </xf>
    <xf numFmtId="41" fontId="21" fillId="0" borderId="0" xfId="0" applyNumberFormat="1" applyFont="1"/>
    <xf numFmtId="0" fontId="26" fillId="0" borderId="0" xfId="0" applyFont="1" applyAlignment="1">
      <alignment horizontal="center"/>
    </xf>
    <xf numFmtId="0" fontId="26" fillId="0" borderId="2" xfId="0" applyFont="1" applyBorder="1" applyAlignment="1">
      <alignment horizontal="center"/>
    </xf>
    <xf numFmtId="41" fontId="21" fillId="0" borderId="2" xfId="2" applyFont="1" applyBorder="1" applyAlignment="1">
      <alignment horizontal="center"/>
    </xf>
    <xf numFmtId="41" fontId="21" fillId="0" borderId="2" xfId="2" applyFont="1" applyBorder="1"/>
    <xf numFmtId="41" fontId="21" fillId="0" borderId="2" xfId="0" applyNumberFormat="1" applyFont="1" applyBorder="1"/>
    <xf numFmtId="0" fontId="25" fillId="0" borderId="0" xfId="0" applyFont="1" applyAlignment="1">
      <alignment horizontal="center"/>
    </xf>
    <xf numFmtId="0" fontId="26" fillId="0" borderId="0" xfId="0" applyFont="1"/>
    <xf numFmtId="41" fontId="21" fillId="0" borderId="0" xfId="2" applyFont="1" applyBorder="1" applyAlignment="1">
      <alignment horizontal="center"/>
    </xf>
    <xf numFmtId="41" fontId="21" fillId="0" borderId="0" xfId="2" applyFont="1" applyBorder="1" applyAlignment="1">
      <alignment horizontal="right"/>
    </xf>
    <xf numFmtId="41" fontId="21" fillId="0" borderId="0" xfId="2" applyFont="1"/>
    <xf numFmtId="41" fontId="21" fillId="0" borderId="0" xfId="2" applyFont="1" applyFill="1" applyBorder="1" applyAlignment="1">
      <alignment horizontal="center"/>
    </xf>
    <xf numFmtId="41" fontId="24" fillId="0" borderId="0" xfId="2" applyFont="1" applyBorder="1" applyAlignment="1">
      <alignment horizontal="center"/>
    </xf>
    <xf numFmtId="41" fontId="24" fillId="0" borderId="0" xfId="2" applyFont="1" applyBorder="1"/>
    <xf numFmtId="168" fontId="21" fillId="0" borderId="0" xfId="1" applyNumberFormat="1" applyFont="1" applyBorder="1"/>
    <xf numFmtId="3" fontId="21" fillId="0" borderId="0" xfId="0" applyNumberFormat="1" applyFont="1"/>
    <xf numFmtId="0" fontId="30" fillId="0" borderId="0" xfId="0" applyFont="1" applyAlignment="1">
      <alignment horizontal="centerContinuous" vertical="center"/>
    </xf>
    <xf numFmtId="0" fontId="21" fillId="0" borderId="0" xfId="0" applyFont="1" applyAlignment="1">
      <alignment horizontal="centerContinuous" vertical="center"/>
    </xf>
    <xf numFmtId="0" fontId="31" fillId="0" borderId="0" xfId="0" applyFont="1" applyAlignment="1">
      <alignment horizontal="centerContinuous" vertical="center"/>
    </xf>
    <xf numFmtId="0" fontId="21" fillId="2" borderId="2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Continuous" vertical="center"/>
    </xf>
    <xf numFmtId="0" fontId="21" fillId="2" borderId="2" xfId="0" applyFont="1" applyFill="1" applyBorder="1" applyAlignment="1">
      <alignment vertical="center"/>
    </xf>
    <xf numFmtId="0" fontId="32" fillId="0" borderId="0" xfId="0" applyFont="1"/>
    <xf numFmtId="49" fontId="24" fillId="0" borderId="5" xfId="3" applyNumberFormat="1" applyFont="1" applyBorder="1" applyAlignment="1">
      <alignment horizontal="left" indent="1"/>
    </xf>
    <xf numFmtId="49" fontId="24" fillId="0" borderId="5" xfId="3" applyNumberFormat="1" applyFont="1" applyBorder="1" applyAlignment="1">
      <alignment horizontal="left"/>
    </xf>
    <xf numFmtId="168" fontId="24" fillId="0" borderId="1" xfId="1" applyNumberFormat="1" applyFont="1" applyBorder="1" applyAlignment="1">
      <alignment horizontal="right"/>
    </xf>
    <xf numFmtId="168" fontId="32" fillId="0" borderId="0" xfId="1" applyNumberFormat="1" applyFont="1" applyBorder="1"/>
    <xf numFmtId="49" fontId="28" fillId="0" borderId="1" xfId="3" applyNumberFormat="1" applyFont="1" applyBorder="1" applyAlignment="1">
      <alignment horizontal="left"/>
    </xf>
    <xf numFmtId="168" fontId="28" fillId="0" borderId="1" xfId="1" applyNumberFormat="1" applyFont="1" applyBorder="1" applyAlignment="1">
      <alignment horizontal="right"/>
    </xf>
    <xf numFmtId="168" fontId="28" fillId="0" borderId="1" xfId="1" quotePrefix="1" applyNumberFormat="1" applyFont="1" applyFill="1" applyBorder="1" applyAlignment="1">
      <alignment horizontal="right"/>
    </xf>
    <xf numFmtId="49" fontId="19" fillId="0" borderId="1" xfId="3" applyNumberFormat="1" applyFont="1" applyBorder="1" applyAlignment="1">
      <alignment horizontal="left" indent="1"/>
    </xf>
    <xf numFmtId="49" fontId="19" fillId="0" borderId="1" xfId="3" applyNumberFormat="1" applyFont="1" applyBorder="1" applyAlignment="1">
      <alignment horizontal="left"/>
    </xf>
    <xf numFmtId="168" fontId="19" fillId="0" borderId="1" xfId="1" applyNumberFormat="1" applyFont="1" applyBorder="1" applyAlignment="1">
      <alignment horizontal="right"/>
    </xf>
    <xf numFmtId="49" fontId="18" fillId="0" borderId="1" xfId="3" applyNumberFormat="1" applyFont="1" applyBorder="1" applyAlignment="1">
      <alignment horizontal="left" indent="1"/>
    </xf>
    <xf numFmtId="49" fontId="18" fillId="0" borderId="1" xfId="3" applyNumberFormat="1" applyFont="1" applyBorder="1" applyAlignment="1">
      <alignment horizontal="left"/>
    </xf>
    <xf numFmtId="168" fontId="18" fillId="0" borderId="1" xfId="1" applyNumberFormat="1" applyFont="1" applyBorder="1" applyAlignment="1">
      <alignment horizontal="right"/>
    </xf>
    <xf numFmtId="168" fontId="19" fillId="0" borderId="1" xfId="1" quotePrefix="1" applyNumberFormat="1" applyFont="1" applyFill="1" applyBorder="1" applyAlignment="1">
      <alignment horizontal="right"/>
    </xf>
    <xf numFmtId="168" fontId="18" fillId="0" borderId="1" xfId="1" quotePrefix="1" applyNumberFormat="1" applyFont="1" applyFill="1" applyBorder="1" applyAlignment="1">
      <alignment horizontal="right"/>
    </xf>
    <xf numFmtId="49" fontId="24" fillId="0" borderId="1" xfId="3" applyNumberFormat="1" applyFont="1" applyBorder="1" applyAlignment="1">
      <alignment horizontal="left" indent="1"/>
    </xf>
    <xf numFmtId="49" fontId="24" fillId="0" borderId="1" xfId="3" applyNumberFormat="1" applyFont="1" applyBorder="1" applyAlignment="1">
      <alignment horizontal="left"/>
    </xf>
    <xf numFmtId="49" fontId="28" fillId="0" borderId="1" xfId="3" applyNumberFormat="1" applyFont="1" applyBorder="1" applyAlignment="1">
      <alignment horizontal="left" indent="2"/>
    </xf>
    <xf numFmtId="168" fontId="24" fillId="0" borderId="1" xfId="1" quotePrefix="1" applyNumberFormat="1" applyFont="1" applyFill="1" applyBorder="1" applyAlignment="1">
      <alignment horizontal="right"/>
    </xf>
    <xf numFmtId="168" fontId="21" fillId="0" borderId="1" xfId="1" quotePrefix="1" applyNumberFormat="1" applyFont="1" applyFill="1" applyBorder="1" applyAlignment="1">
      <alignment horizontal="right"/>
    </xf>
    <xf numFmtId="49" fontId="19" fillId="0" borderId="8" xfId="3" applyNumberFormat="1" applyFont="1" applyBorder="1" applyAlignment="1">
      <alignment horizontal="left" indent="1"/>
    </xf>
    <xf numFmtId="49" fontId="24" fillId="0" borderId="2" xfId="0" applyNumberFormat="1" applyFont="1" applyBorder="1" applyAlignment="1">
      <alignment horizontal="left"/>
    </xf>
    <xf numFmtId="0" fontId="21" fillId="0" borderId="2" xfId="0" applyFont="1" applyBorder="1" applyAlignment="1">
      <alignment horizontal="left" indent="1"/>
    </xf>
    <xf numFmtId="3" fontId="24" fillId="0" borderId="2" xfId="1" applyNumberFormat="1" applyFont="1" applyFill="1" applyBorder="1" applyAlignment="1">
      <alignment horizontal="right"/>
    </xf>
    <xf numFmtId="49" fontId="24" fillId="0" borderId="0" xfId="0" applyNumberFormat="1" applyFont="1" applyAlignment="1">
      <alignment horizontal="left"/>
    </xf>
    <xf numFmtId="0" fontId="21" fillId="0" borderId="0" xfId="0" applyFont="1" applyAlignment="1">
      <alignment horizontal="left" indent="1"/>
    </xf>
    <xf numFmtId="3" fontId="24" fillId="0" borderId="0" xfId="1" applyNumberFormat="1" applyFont="1" applyFill="1" applyBorder="1" applyAlignment="1">
      <alignment horizontal="right"/>
    </xf>
    <xf numFmtId="168" fontId="24" fillId="0" borderId="0" xfId="1" applyNumberFormat="1" applyFont="1" applyFill="1" applyBorder="1" applyAlignment="1">
      <alignment horizontal="right"/>
    </xf>
    <xf numFmtId="0" fontId="28" fillId="0" borderId="0" xfId="0" applyFont="1"/>
    <xf numFmtId="3" fontId="29" fillId="0" borderId="0" xfId="1" applyNumberFormat="1" applyFont="1" applyBorder="1" applyAlignment="1">
      <alignment horizontal="right"/>
    </xf>
    <xf numFmtId="169" fontId="21" fillId="0" borderId="0" xfId="0" applyNumberFormat="1" applyFont="1" applyAlignment="1">
      <alignment horizontal="center"/>
    </xf>
    <xf numFmtId="168" fontId="21" fillId="0" borderId="0" xfId="1" applyNumberFormat="1" applyFont="1" applyAlignment="1"/>
    <xf numFmtId="169" fontId="21" fillId="0" borderId="0" xfId="2" applyNumberFormat="1" applyFont="1" applyBorder="1" applyAlignment="1">
      <alignment horizontal="center"/>
    </xf>
    <xf numFmtId="169" fontId="24" fillId="0" borderId="0" xfId="2" applyNumberFormat="1" applyFont="1" applyBorder="1" applyAlignment="1">
      <alignment horizontal="center"/>
    </xf>
    <xf numFmtId="169" fontId="24" fillId="0" borderId="0" xfId="0" applyNumberFormat="1" applyFont="1" applyAlignment="1">
      <alignment horizontal="center"/>
    </xf>
    <xf numFmtId="14" fontId="21" fillId="0" borderId="8" xfId="6" applyNumberFormat="1" applyFont="1" applyBorder="1" applyAlignment="1">
      <alignment horizontal="center"/>
    </xf>
    <xf numFmtId="168" fontId="29" fillId="0" borderId="1" xfId="1" quotePrefix="1" applyNumberFormat="1" applyFont="1" applyFill="1" applyBorder="1" applyAlignment="1">
      <alignment horizontal="right"/>
    </xf>
    <xf numFmtId="0" fontId="33" fillId="0" borderId="0" xfId="0" applyFont="1"/>
    <xf numFmtId="49" fontId="28" fillId="0" borderId="1" xfId="0" applyNumberFormat="1" applyFont="1" applyBorder="1" applyAlignment="1">
      <alignment horizontal="left"/>
    </xf>
    <xf numFmtId="49" fontId="28" fillId="0" borderId="1" xfId="1" applyNumberFormat="1" applyFont="1" applyBorder="1" applyAlignment="1">
      <alignment horizontal="left"/>
    </xf>
    <xf numFmtId="49" fontId="28" fillId="0" borderId="8" xfId="0" applyNumberFormat="1" applyFont="1" applyBorder="1" applyAlignment="1">
      <alignment horizontal="left"/>
    </xf>
    <xf numFmtId="168" fontId="21" fillId="0" borderId="0" xfId="1" applyNumberFormat="1" applyFont="1"/>
    <xf numFmtId="0" fontId="33" fillId="0" borderId="0" xfId="0" applyFont="1" applyAlignment="1">
      <alignment horizontal="left"/>
    </xf>
    <xf numFmtId="0" fontId="21" fillId="0" borderId="0" xfId="0" applyFont="1" applyAlignment="1">
      <alignment vertical="top" wrapText="1"/>
    </xf>
    <xf numFmtId="0" fontId="26" fillId="0" borderId="0" xfId="0" applyFont="1" applyAlignment="1">
      <alignment horizontal="centerContinuous" vertical="top" wrapText="1"/>
    </xf>
    <xf numFmtId="168" fontId="21" fillId="0" borderId="0" xfId="1" applyNumberFormat="1" applyFont="1" applyAlignment="1">
      <alignment horizontal="centerContinuous"/>
    </xf>
    <xf numFmtId="0" fontId="34" fillId="0" borderId="0" xfId="0" applyFont="1" applyAlignment="1">
      <alignment horizontal="centerContinuous"/>
    </xf>
    <xf numFmtId="0" fontId="25" fillId="0" borderId="0" xfId="0" applyFont="1" applyAlignment="1">
      <alignment horizontal="centerContinuous"/>
    </xf>
    <xf numFmtId="168" fontId="25" fillId="0" borderId="0" xfId="1" applyNumberFormat="1" applyFont="1" applyAlignment="1">
      <alignment horizontal="right"/>
    </xf>
    <xf numFmtId="0" fontId="24" fillId="0" borderId="2" xfId="0" applyFont="1" applyBorder="1" applyAlignment="1">
      <alignment horizontal="center" vertical="top" wrapText="1"/>
    </xf>
    <xf numFmtId="0" fontId="35" fillId="0" borderId="2" xfId="0" applyFont="1" applyBorder="1" applyAlignment="1">
      <alignment horizontal="center" vertical="center" wrapText="1"/>
    </xf>
    <xf numFmtId="168" fontId="24" fillId="0" borderId="2" xfId="1" applyNumberFormat="1" applyFont="1" applyBorder="1" applyAlignment="1">
      <alignment horizontal="center" vertical="top" wrapText="1"/>
    </xf>
    <xf numFmtId="0" fontId="21" fillId="0" borderId="2" xfId="0" applyFont="1" applyBorder="1" applyAlignment="1">
      <alignment horizontal="center" vertical="top" wrapText="1"/>
    </xf>
    <xf numFmtId="168" fontId="21" fillId="0" borderId="2" xfId="1" quotePrefix="1" applyNumberFormat="1" applyFont="1" applyBorder="1" applyAlignment="1">
      <alignment horizontal="center" vertical="top" wrapText="1"/>
    </xf>
    <xf numFmtId="0" fontId="36" fillId="0" borderId="7" xfId="0" applyFont="1" applyBorder="1" applyAlignment="1">
      <alignment horizontal="justify" vertical="top" wrapText="1"/>
    </xf>
    <xf numFmtId="0" fontId="36" fillId="0" borderId="7" xfId="0" applyFont="1" applyBorder="1" applyAlignment="1">
      <alignment horizontal="center" vertical="top" wrapText="1"/>
    </xf>
    <xf numFmtId="0" fontId="24" fillId="0" borderId="7" xfId="0" applyFont="1" applyBorder="1" applyAlignment="1">
      <alignment vertical="top" wrapText="1"/>
    </xf>
    <xf numFmtId="41" fontId="21" fillId="0" borderId="7" xfId="2" applyFont="1" applyBorder="1" applyAlignment="1">
      <alignment horizontal="right" vertical="top" wrapText="1" indent="1"/>
    </xf>
    <xf numFmtId="41" fontId="21" fillId="0" borderId="7" xfId="2" applyFont="1" applyBorder="1" applyAlignment="1">
      <alignment vertical="top" wrapText="1"/>
    </xf>
    <xf numFmtId="0" fontId="24" fillId="0" borderId="9" xfId="0" applyFont="1" applyBorder="1" applyAlignment="1">
      <alignment horizontal="justify" vertical="top" wrapText="1"/>
    </xf>
    <xf numFmtId="0" fontId="24" fillId="0" borderId="9" xfId="0" applyFont="1" applyBorder="1" applyAlignment="1">
      <alignment horizontal="center" vertical="top" wrapText="1"/>
    </xf>
    <xf numFmtId="0" fontId="24" fillId="0" borderId="1" xfId="0" applyFont="1" applyBorder="1" applyAlignment="1">
      <alignment vertical="top" wrapText="1"/>
    </xf>
    <xf numFmtId="41" fontId="24" fillId="0" borderId="1" xfId="2" applyFont="1" applyBorder="1" applyAlignment="1">
      <alignment horizontal="right" vertical="top" wrapText="1" indent="1"/>
    </xf>
    <xf numFmtId="0" fontId="24" fillId="0" borderId="1" xfId="0" applyFont="1" applyBorder="1" applyAlignment="1">
      <alignment horizontal="center" vertical="top" wrapText="1"/>
    </xf>
    <xf numFmtId="41" fontId="21" fillId="0" borderId="1" xfId="2" applyFont="1" applyBorder="1" applyAlignment="1">
      <alignment horizontal="right" vertical="top" wrapText="1" indent="1"/>
    </xf>
    <xf numFmtId="0" fontId="21" fillId="0" borderId="9" xfId="0" applyFont="1" applyBorder="1" applyAlignment="1">
      <alignment horizontal="justify" vertical="top" wrapText="1"/>
    </xf>
    <xf numFmtId="0" fontId="21" fillId="0" borderId="9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top" wrapText="1"/>
    </xf>
    <xf numFmtId="41" fontId="21" fillId="0" borderId="1" xfId="2" applyFont="1" applyBorder="1" applyAlignment="1">
      <alignment horizontal="center" vertical="top" wrapText="1"/>
    </xf>
    <xf numFmtId="41" fontId="31" fillId="0" borderId="1" xfId="2" applyFont="1" applyBorder="1" applyAlignment="1">
      <alignment horizontal="center" vertical="top" wrapText="1"/>
    </xf>
    <xf numFmtId="0" fontId="24" fillId="0" borderId="1" xfId="0" applyFont="1" applyBorder="1" applyAlignment="1">
      <alignment horizontal="justify" vertical="top" wrapText="1"/>
    </xf>
    <xf numFmtId="0" fontId="21" fillId="0" borderId="1" xfId="0" applyFont="1" applyBorder="1" applyAlignment="1">
      <alignment horizontal="justify" vertical="top" wrapText="1"/>
    </xf>
    <xf numFmtId="0" fontId="21" fillId="0" borderId="4" xfId="0" applyFont="1" applyBorder="1" applyAlignment="1">
      <alignment horizontal="justify" vertical="top" wrapText="1"/>
    </xf>
    <xf numFmtId="0" fontId="21" fillId="0" borderId="4" xfId="0" applyFont="1" applyBorder="1" applyAlignment="1">
      <alignment horizontal="center" vertical="top" wrapText="1"/>
    </xf>
    <xf numFmtId="0" fontId="21" fillId="0" borderId="6" xfId="0" applyFont="1" applyBorder="1" applyAlignment="1">
      <alignment horizontal="center" vertical="top" wrapText="1"/>
    </xf>
    <xf numFmtId="41" fontId="21" fillId="0" borderId="6" xfId="2" applyFont="1" applyBorder="1" applyAlignment="1">
      <alignment horizontal="right" vertical="top" wrapText="1" indent="1"/>
    </xf>
    <xf numFmtId="41" fontId="21" fillId="0" borderId="6" xfId="2" applyFont="1" applyBorder="1" applyAlignment="1">
      <alignment horizontal="center" vertical="top" wrapText="1"/>
    </xf>
    <xf numFmtId="0" fontId="36" fillId="0" borderId="9" xfId="0" applyFont="1" applyBorder="1" applyAlignment="1">
      <alignment horizontal="justify" vertical="top" wrapText="1"/>
    </xf>
    <xf numFmtId="0" fontId="36" fillId="0" borderId="9" xfId="0" applyFont="1" applyBorder="1" applyAlignment="1">
      <alignment horizontal="center" vertical="top" wrapText="1"/>
    </xf>
    <xf numFmtId="0" fontId="24" fillId="0" borderId="9" xfId="0" applyFont="1" applyBorder="1" applyAlignment="1">
      <alignment vertical="top" wrapText="1"/>
    </xf>
    <xf numFmtId="41" fontId="21" fillId="0" borderId="9" xfId="2" applyFont="1" applyBorder="1" applyAlignment="1">
      <alignment horizontal="right" vertical="top" wrapText="1" indent="1"/>
    </xf>
    <xf numFmtId="41" fontId="21" fillId="0" borderId="9" xfId="2" applyFont="1" applyBorder="1" applyAlignment="1">
      <alignment vertical="top" wrapText="1"/>
    </xf>
    <xf numFmtId="41" fontId="24" fillId="0" borderId="7" xfId="2" applyFont="1" applyBorder="1" applyAlignment="1">
      <alignment horizontal="right" vertical="top" wrapText="1" indent="1"/>
    </xf>
    <xf numFmtId="41" fontId="24" fillId="0" borderId="1" xfId="2" applyFont="1" applyBorder="1" applyAlignment="1">
      <alignment horizontal="center" vertical="top" wrapText="1"/>
    </xf>
    <xf numFmtId="0" fontId="21" fillId="0" borderId="9" xfId="0" applyFont="1" applyBorder="1" applyAlignment="1">
      <alignment vertical="top" wrapText="1"/>
    </xf>
    <xf numFmtId="0" fontId="21" fillId="0" borderId="4" xfId="0" applyFont="1" applyBorder="1" applyAlignment="1">
      <alignment vertical="top" wrapText="1"/>
    </xf>
    <xf numFmtId="0" fontId="24" fillId="0" borderId="4" xfId="0" applyFont="1" applyBorder="1" applyAlignment="1">
      <alignment horizontal="center" vertical="top" wrapText="1"/>
    </xf>
    <xf numFmtId="0" fontId="24" fillId="0" borderId="4" xfId="0" applyFont="1" applyBorder="1" applyAlignment="1">
      <alignment vertical="top" wrapText="1"/>
    </xf>
    <xf numFmtId="41" fontId="24" fillId="0" borderId="4" xfId="2" applyFont="1" applyBorder="1" applyAlignment="1">
      <alignment horizontal="right" vertical="top" wrapText="1" indent="1"/>
    </xf>
    <xf numFmtId="0" fontId="24" fillId="0" borderId="0" xfId="0" applyFont="1" applyAlignment="1">
      <alignment horizontal="center" vertical="top" wrapText="1"/>
    </xf>
    <xf numFmtId="0" fontId="24" fillId="0" borderId="0" xfId="0" applyFont="1" applyAlignment="1">
      <alignment vertical="top" wrapText="1"/>
    </xf>
    <xf numFmtId="41" fontId="24" fillId="0" borderId="0" xfId="2" applyFont="1" applyBorder="1" applyAlignment="1">
      <alignment horizontal="right" vertical="top" wrapText="1" indent="1"/>
    </xf>
    <xf numFmtId="41" fontId="21" fillId="0" borderId="0" xfId="2" applyFont="1" applyBorder="1" applyAlignment="1">
      <alignment vertical="top" wrapText="1"/>
    </xf>
    <xf numFmtId="41" fontId="24" fillId="0" borderId="0" xfId="2" applyFont="1" applyFill="1" applyBorder="1" applyAlignment="1">
      <alignment horizontal="right" vertical="top" wrapText="1" indent="1"/>
    </xf>
    <xf numFmtId="41" fontId="21" fillId="0" borderId="0" xfId="2" applyFont="1" applyFill="1" applyBorder="1" applyAlignment="1">
      <alignment vertical="top" wrapText="1"/>
    </xf>
    <xf numFmtId="0" fontId="24" fillId="0" borderId="0" xfId="0" applyFont="1" applyAlignment="1">
      <alignment horizontal="justify" vertical="top" wrapText="1"/>
    </xf>
    <xf numFmtId="0" fontId="21" fillId="0" borderId="0" xfId="0" applyFont="1" applyAlignment="1">
      <alignment horizontal="center" vertical="top" wrapText="1"/>
    </xf>
    <xf numFmtId="41" fontId="21" fillId="0" borderId="0" xfId="2" applyFont="1" applyBorder="1" applyAlignment="1">
      <alignment horizontal="right" vertical="top" wrapText="1" indent="1"/>
    </xf>
    <xf numFmtId="41" fontId="21" fillId="0" borderId="0" xfId="2" applyFont="1" applyBorder="1" applyAlignment="1">
      <alignment horizontal="center" vertical="top" wrapText="1"/>
    </xf>
    <xf numFmtId="41" fontId="24" fillId="0" borderId="2" xfId="2" applyFont="1" applyBorder="1" applyAlignment="1">
      <alignment horizontal="center" vertical="top" wrapText="1"/>
    </xf>
    <xf numFmtId="41" fontId="24" fillId="0" borderId="7" xfId="2" applyFont="1" applyBorder="1" applyAlignment="1">
      <alignment vertical="top" wrapText="1"/>
    </xf>
    <xf numFmtId="41" fontId="21" fillId="0" borderId="12" xfId="2" applyFont="1" applyBorder="1" applyAlignment="1">
      <alignment horizontal="center" vertical="top" wrapText="1"/>
    </xf>
    <xf numFmtId="41" fontId="21" fillId="0" borderId="9" xfId="2" applyFont="1" applyBorder="1"/>
    <xf numFmtId="41" fontId="21" fillId="0" borderId="11" xfId="2" applyFont="1" applyBorder="1"/>
    <xf numFmtId="0" fontId="24" fillId="0" borderId="3" xfId="0" applyFont="1" applyBorder="1" applyAlignment="1">
      <alignment horizontal="justify" vertical="top" wrapText="1"/>
    </xf>
    <xf numFmtId="0" fontId="24" fillId="0" borderId="3" xfId="0" applyFont="1" applyBorder="1" applyAlignment="1">
      <alignment horizontal="center" vertical="top" wrapText="1"/>
    </xf>
    <xf numFmtId="0" fontId="24" fillId="0" borderId="5" xfId="0" applyFont="1" applyBorder="1" applyAlignment="1">
      <alignment vertical="top" wrapText="1"/>
    </xf>
    <xf numFmtId="41" fontId="24" fillId="0" borderId="5" xfId="2" applyFont="1" applyBorder="1" applyAlignment="1">
      <alignment horizontal="right" vertical="top" wrapText="1" indent="1"/>
    </xf>
    <xf numFmtId="0" fontId="37" fillId="0" borderId="9" xfId="0" applyFont="1" applyBorder="1" applyAlignment="1">
      <alignment horizontal="justify" vertical="top" wrapText="1"/>
    </xf>
    <xf numFmtId="0" fontId="37" fillId="0" borderId="9" xfId="0" applyFont="1" applyBorder="1" applyAlignment="1">
      <alignment horizontal="center" vertical="top" wrapText="1"/>
    </xf>
    <xf numFmtId="0" fontId="31" fillId="0" borderId="1" xfId="0" applyFont="1" applyBorder="1" applyAlignment="1">
      <alignment horizontal="center" vertical="top" wrapText="1"/>
    </xf>
    <xf numFmtId="0" fontId="38" fillId="0" borderId="0" xfId="0" applyFont="1"/>
    <xf numFmtId="0" fontId="21" fillId="0" borderId="6" xfId="0" applyFont="1" applyBorder="1" applyAlignment="1">
      <alignment horizontal="justify" vertical="top" wrapText="1"/>
    </xf>
    <xf numFmtId="41" fontId="38" fillId="0" borderId="6" xfId="2" applyFont="1" applyBorder="1" applyAlignment="1">
      <alignment horizontal="center" vertical="top" wrapText="1"/>
    </xf>
    <xf numFmtId="41" fontId="24" fillId="0" borderId="4" xfId="2" applyFont="1" applyBorder="1" applyAlignment="1">
      <alignment vertical="top" wrapText="1"/>
    </xf>
    <xf numFmtId="0" fontId="24" fillId="0" borderId="0" xfId="0" applyFont="1" applyAlignment="1">
      <alignment horizontal="justify"/>
    </xf>
    <xf numFmtId="0" fontId="21" fillId="0" borderId="0" xfId="0" applyFont="1" applyAlignment="1">
      <alignment horizontal="justify"/>
    </xf>
    <xf numFmtId="0" fontId="26" fillId="0" borderId="0" xfId="0" applyFont="1" applyAlignment="1">
      <alignment horizontal="justify"/>
    </xf>
    <xf numFmtId="0" fontId="39" fillId="0" borderId="0" xfId="0" applyFont="1" applyAlignment="1">
      <alignment vertical="top" wrapText="1"/>
    </xf>
    <xf numFmtId="0" fontId="40" fillId="0" borderId="0" xfId="0" applyFont="1" applyAlignment="1">
      <alignment horizontal="centerContinuous" vertical="top" wrapText="1"/>
    </xf>
    <xf numFmtId="0" fontId="39" fillId="0" borderId="0" xfId="0" applyFont="1" applyAlignment="1">
      <alignment horizontal="centerContinuous" vertical="top" wrapText="1"/>
    </xf>
    <xf numFmtId="0" fontId="33" fillId="0" borderId="0" xfId="0" applyFont="1" applyAlignment="1">
      <alignment vertical="top" wrapText="1"/>
    </xf>
    <xf numFmtId="0" fontId="41" fillId="0" borderId="0" xfId="0" applyFont="1" applyAlignment="1">
      <alignment horizontal="centerContinuous"/>
    </xf>
    <xf numFmtId="0" fontId="42" fillId="0" borderId="0" xfId="0" applyFont="1" applyAlignment="1">
      <alignment horizontal="centerContinuous" vertical="top" wrapText="1"/>
    </xf>
    <xf numFmtId="0" fontId="42" fillId="0" borderId="0" xfId="0" applyFont="1"/>
    <xf numFmtId="0" fontId="34" fillId="0" borderId="0" xfId="0" applyFont="1" applyAlignment="1">
      <alignment horizontal="centerContinuous" vertical="center"/>
    </xf>
    <xf numFmtId="0" fontId="43" fillId="0" borderId="0" xfId="0" applyFont="1" applyAlignment="1">
      <alignment horizontal="centerContinuous"/>
    </xf>
    <xf numFmtId="0" fontId="44" fillId="0" borderId="0" xfId="0" applyFont="1" applyAlignment="1">
      <alignment horizontal="right"/>
    </xf>
    <xf numFmtId="0" fontId="39" fillId="0" borderId="3" xfId="0" applyFont="1" applyBorder="1" applyAlignment="1">
      <alignment horizontal="center" vertical="top" wrapText="1"/>
    </xf>
    <xf numFmtId="0" fontId="39" fillId="0" borderId="4" xfId="0" applyFont="1" applyBorder="1" applyAlignment="1">
      <alignment horizontal="center" vertical="top" wrapText="1"/>
    </xf>
    <xf numFmtId="49" fontId="33" fillId="0" borderId="5" xfId="0" applyNumberFormat="1" applyFont="1" applyBorder="1" applyAlignment="1">
      <alignment horizontal="center"/>
    </xf>
    <xf numFmtId="0" fontId="33" fillId="0" borderId="5" xfId="0" applyFont="1" applyBorder="1" applyAlignment="1">
      <alignment horizontal="center" vertical="top"/>
    </xf>
    <xf numFmtId="49" fontId="33" fillId="0" borderId="1" xfId="0" applyNumberFormat="1" applyFont="1" applyBorder="1" applyAlignment="1">
      <alignment horizontal="justify"/>
    </xf>
    <xf numFmtId="0" fontId="33" fillId="0" borderId="1" xfId="0" quotePrefix="1" applyFont="1" applyBorder="1" applyAlignment="1">
      <alignment horizontal="center" vertical="top"/>
    </xf>
    <xf numFmtId="0" fontId="33" fillId="0" borderId="1" xfId="0" applyFont="1" applyBorder="1" applyAlignment="1">
      <alignment horizontal="center" vertical="top"/>
    </xf>
    <xf numFmtId="41" fontId="33" fillId="0" borderId="1" xfId="0" applyNumberFormat="1" applyFont="1" applyBorder="1" applyAlignment="1">
      <alignment horizontal="right"/>
    </xf>
    <xf numFmtId="49" fontId="33" fillId="0" borderId="1" xfId="0" applyNumberFormat="1" applyFont="1" applyBorder="1" applyAlignment="1">
      <alignment horizontal="justify" wrapText="1"/>
    </xf>
    <xf numFmtId="49" fontId="33" fillId="0" borderId="6" xfId="0" applyNumberFormat="1" applyFont="1" applyBorder="1" applyAlignment="1">
      <alignment horizontal="justify"/>
    </xf>
    <xf numFmtId="0" fontId="33" fillId="0" borderId="6" xfId="0" applyFont="1" applyBorder="1" applyAlignment="1">
      <alignment horizontal="center" vertical="top"/>
    </xf>
    <xf numFmtId="3" fontId="33" fillId="0" borderId="6" xfId="0" applyNumberFormat="1" applyFont="1" applyBorder="1" applyAlignment="1">
      <alignment horizontal="right" vertical="top"/>
    </xf>
    <xf numFmtId="0" fontId="24" fillId="0" borderId="0" xfId="0" applyFont="1" applyAlignment="1">
      <alignment horizontal="center" vertical="top"/>
    </xf>
    <xf numFmtId="0" fontId="21" fillId="0" borderId="0" xfId="0" applyFont="1" applyAlignment="1">
      <alignment horizontal="justify" vertical="top" wrapText="1"/>
    </xf>
    <xf numFmtId="0" fontId="39" fillId="0" borderId="0" xfId="0" applyFont="1" applyAlignment="1">
      <alignment horizontal="centerContinuous" vertical="top"/>
    </xf>
    <xf numFmtId="0" fontId="39" fillId="0" borderId="0" xfId="0" applyFont="1" applyAlignment="1">
      <alignment horizontal="centerContinuous"/>
    </xf>
    <xf numFmtId="168" fontId="39" fillId="0" borderId="0" xfId="1" applyNumberFormat="1" applyFont="1" applyAlignment="1">
      <alignment vertical="top" wrapText="1"/>
    </xf>
    <xf numFmtId="0" fontId="39" fillId="0" borderId="0" xfId="0" applyFont="1" applyAlignment="1">
      <alignment horizontal="center" vertical="top" wrapText="1"/>
    </xf>
    <xf numFmtId="0" fontId="45" fillId="0" borderId="0" xfId="0" applyFont="1" applyAlignment="1">
      <alignment horizontal="center" vertical="top"/>
    </xf>
    <xf numFmtId="0" fontId="46" fillId="0" borderId="0" xfId="0" applyFont="1" applyAlignment="1">
      <alignment horizontal="centerContinuous"/>
    </xf>
    <xf numFmtId="0" fontId="47" fillId="0" borderId="0" xfId="0" applyFont="1" applyAlignment="1">
      <alignment horizontal="centerContinuous"/>
    </xf>
    <xf numFmtId="0" fontId="48" fillId="0" borderId="0" xfId="0" applyFont="1"/>
    <xf numFmtId="0" fontId="35" fillId="0" borderId="5" xfId="0" applyFont="1" applyBorder="1" applyAlignment="1">
      <alignment horizontal="center" vertical="top" wrapText="1"/>
    </xf>
    <xf numFmtId="0" fontId="35" fillId="0" borderId="5" xfId="0" applyFont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top" wrapText="1"/>
    </xf>
    <xf numFmtId="0" fontId="35" fillId="0" borderId="1" xfId="0" applyFont="1" applyBorder="1" applyAlignment="1">
      <alignment horizontal="justify" vertical="top" wrapText="1"/>
    </xf>
    <xf numFmtId="168" fontId="49" fillId="0" borderId="1" xfId="1" applyNumberFormat="1" applyFont="1" applyBorder="1" applyAlignment="1">
      <alignment horizontal="justify" vertical="top" wrapText="1"/>
    </xf>
    <xf numFmtId="0" fontId="49" fillId="0" borderId="1" xfId="0" applyFont="1" applyBorder="1" applyAlignment="1">
      <alignment horizontal="justify" vertical="top" wrapText="1"/>
    </xf>
    <xf numFmtId="0" fontId="50" fillId="0" borderId="1" xfId="0" applyFont="1" applyBorder="1" applyAlignment="1">
      <alignment horizontal="justify" vertical="top" wrapText="1"/>
    </xf>
    <xf numFmtId="0" fontId="50" fillId="0" borderId="1" xfId="0" applyFont="1" applyBorder="1" applyAlignment="1">
      <alignment horizontal="center" vertical="top" wrapText="1"/>
    </xf>
    <xf numFmtId="168" fontId="35" fillId="0" borderId="1" xfId="1" applyNumberFormat="1" applyFont="1" applyBorder="1" applyAlignment="1">
      <alignment horizontal="justify" vertical="top" wrapText="1"/>
    </xf>
    <xf numFmtId="0" fontId="51" fillId="0" borderId="1" xfId="0" applyFont="1" applyBorder="1" applyAlignment="1">
      <alignment horizontal="justify" vertical="top" wrapText="1"/>
    </xf>
    <xf numFmtId="0" fontId="35" fillId="0" borderId="1" xfId="0" applyFont="1" applyBorder="1" applyAlignment="1">
      <alignment horizontal="center" vertical="top" wrapText="1"/>
    </xf>
    <xf numFmtId="0" fontId="35" fillId="0" borderId="6" xfId="0" applyFont="1" applyBorder="1" applyAlignment="1">
      <alignment horizontal="justify" vertical="top" wrapText="1"/>
    </xf>
    <xf numFmtId="0" fontId="35" fillId="0" borderId="6" xfId="0" applyFont="1" applyBorder="1" applyAlignment="1">
      <alignment horizontal="center" vertical="top" wrapText="1"/>
    </xf>
    <xf numFmtId="0" fontId="49" fillId="0" borderId="6" xfId="0" applyFont="1" applyBorder="1" applyAlignment="1">
      <alignment horizontal="center" vertical="top" wrapText="1"/>
    </xf>
    <xf numFmtId="168" fontId="35" fillId="0" borderId="6" xfId="1" applyNumberFormat="1" applyFont="1" applyBorder="1" applyAlignment="1">
      <alignment horizontal="justify" vertical="top" wrapText="1"/>
    </xf>
    <xf numFmtId="0" fontId="49" fillId="0" borderId="6" xfId="0" applyFont="1" applyBorder="1" applyAlignment="1">
      <alignment horizontal="justify" vertical="top" wrapText="1"/>
    </xf>
    <xf numFmtId="168" fontId="21" fillId="0" borderId="0" xfId="0" applyNumberFormat="1" applyFont="1"/>
    <xf numFmtId="0" fontId="51" fillId="0" borderId="0" xfId="0" applyFont="1" applyAlignment="1">
      <alignment horizontal="right" indent="15"/>
    </xf>
    <xf numFmtId="0" fontId="35" fillId="0" borderId="0" xfId="0" applyFont="1" applyAlignment="1">
      <alignment horizontal="right"/>
    </xf>
    <xf numFmtId="0" fontId="51" fillId="0" borderId="0" xfId="0" applyFont="1" applyAlignment="1">
      <alignment horizontal="centerContinuous"/>
    </xf>
    <xf numFmtId="0" fontId="35" fillId="0" borderId="0" xfId="0" applyFont="1" applyAlignment="1">
      <alignment horizontal="center" vertical="top" wrapText="1"/>
    </xf>
    <xf numFmtId="0" fontId="35" fillId="0" borderId="0" xfId="0" applyFont="1" applyAlignment="1">
      <alignment horizontal="centerContinuous" vertical="top" wrapText="1"/>
    </xf>
    <xf numFmtId="0" fontId="49" fillId="0" borderId="0" xfId="0" applyFont="1" applyAlignment="1">
      <alignment horizontal="center" vertical="top" wrapText="1"/>
    </xf>
    <xf numFmtId="0" fontId="49" fillId="0" borderId="0" xfId="0" applyFont="1" applyAlignment="1">
      <alignment horizontal="centerContinuous" vertical="top" wrapText="1"/>
    </xf>
    <xf numFmtId="0" fontId="52" fillId="0" borderId="0" xfId="0" applyFont="1"/>
    <xf numFmtId="168" fontId="27" fillId="0" borderId="1" xfId="1" applyNumberFormat="1" applyFont="1" applyFill="1" applyBorder="1" applyAlignment="1">
      <alignment horizontal="left"/>
    </xf>
    <xf numFmtId="3" fontId="17" fillId="0" borderId="0" xfId="0" applyNumberFormat="1" applyFont="1" applyAlignment="1">
      <alignment horizontal="centerContinuous" vertical="center" wrapText="1"/>
    </xf>
    <xf numFmtId="0" fontId="21" fillId="0" borderId="0" xfId="0" applyFont="1" applyAlignment="1">
      <alignment horizontal="right"/>
    </xf>
    <xf numFmtId="0" fontId="16" fillId="0" borderId="19" xfId="0" quotePrefix="1" applyFont="1" applyBorder="1" applyAlignment="1">
      <alignment horizontal="center" vertical="center" wrapText="1"/>
    </xf>
    <xf numFmtId="0" fontId="28" fillId="0" borderId="0" xfId="0" applyFont="1" applyAlignment="1">
      <alignment horizontal="right" vertical="center"/>
    </xf>
    <xf numFmtId="0" fontId="39" fillId="0" borderId="0" xfId="0" applyFont="1"/>
    <xf numFmtId="3" fontId="53" fillId="0" borderId="0" xfId="0" applyNumberFormat="1" applyFont="1" applyAlignment="1">
      <alignment horizontal="right" vertical="center"/>
    </xf>
    <xf numFmtId="3" fontId="23" fillId="0" borderId="0" xfId="0" applyNumberFormat="1" applyFont="1" applyAlignment="1">
      <alignment horizontal="right" vertical="center"/>
    </xf>
    <xf numFmtId="0" fontId="18" fillId="0" borderId="0" xfId="0" applyFont="1" applyAlignment="1">
      <alignment horizontal="center"/>
    </xf>
    <xf numFmtId="172" fontId="28" fillId="0" borderId="0" xfId="0" applyNumberFormat="1" applyFont="1"/>
    <xf numFmtId="172" fontId="29" fillId="0" borderId="0" xfId="1" applyNumberFormat="1" applyFont="1"/>
    <xf numFmtId="172" fontId="21" fillId="0" borderId="0" xfId="0" applyNumberFormat="1" applyFont="1"/>
    <xf numFmtId="172" fontId="24" fillId="0" borderId="0" xfId="1" applyNumberFormat="1" applyFont="1"/>
    <xf numFmtId="0" fontId="54" fillId="0" borderId="0" xfId="0" applyFont="1" applyAlignment="1">
      <alignment vertical="center" wrapText="1"/>
    </xf>
    <xf numFmtId="0" fontId="54" fillId="0" borderId="0" xfId="0" applyFont="1" applyAlignment="1">
      <alignment horizontal="right" vertical="center" wrapText="1"/>
    </xf>
    <xf numFmtId="0" fontId="55" fillId="0" borderId="0" xfId="0" applyFont="1" applyAlignment="1">
      <alignment horizontal="justify" vertical="center" wrapText="1"/>
    </xf>
    <xf numFmtId="0" fontId="55" fillId="0" borderId="0" xfId="0" applyFont="1" applyAlignment="1">
      <alignment horizontal="right" vertical="center" wrapText="1"/>
    </xf>
    <xf numFmtId="3" fontId="55" fillId="0" borderId="0" xfId="0" applyNumberFormat="1" applyFont="1" applyAlignment="1">
      <alignment horizontal="right" vertical="center" wrapText="1"/>
    </xf>
    <xf numFmtId="0" fontId="56" fillId="0" borderId="0" xfId="0" applyFont="1" applyAlignment="1">
      <alignment horizontal="right" vertical="center" wrapText="1"/>
    </xf>
    <xf numFmtId="0" fontId="21" fillId="0" borderId="0" xfId="0" applyFont="1" applyAlignment="1">
      <alignment wrapText="1"/>
    </xf>
    <xf numFmtId="0" fontId="54" fillId="0" borderId="0" xfId="0" applyFont="1" applyAlignment="1">
      <alignment vertical="center"/>
    </xf>
    <xf numFmtId="0" fontId="54" fillId="0" borderId="0" xfId="0" applyFont="1" applyAlignment="1">
      <alignment horizontal="right" vertical="center"/>
    </xf>
    <xf numFmtId="0" fontId="55" fillId="0" borderId="0" xfId="0" applyFont="1" applyAlignment="1">
      <alignment vertical="center" wrapText="1"/>
    </xf>
    <xf numFmtId="49" fontId="21" fillId="0" borderId="1" xfId="3" applyNumberFormat="1" applyFont="1" applyBorder="1" applyAlignment="1">
      <alignment horizontal="left"/>
    </xf>
    <xf numFmtId="0" fontId="57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indent="2"/>
    </xf>
    <xf numFmtId="168" fontId="27" fillId="0" borderId="0" xfId="1" applyNumberFormat="1" applyFont="1" applyBorder="1"/>
    <xf numFmtId="0" fontId="18" fillId="0" borderId="0" xfId="0" applyFont="1" applyAlignment="1">
      <alignment horizontal="left" wrapText="1" indent="2"/>
    </xf>
    <xf numFmtId="171" fontId="19" fillId="0" borderId="0" xfId="1" applyNumberFormat="1" applyFont="1" applyAlignment="1">
      <alignment horizontal="right"/>
    </xf>
    <xf numFmtId="171" fontId="18" fillId="0" borderId="0" xfId="1" applyNumberFormat="1" applyFont="1" applyAlignment="1">
      <alignment horizontal="right"/>
    </xf>
    <xf numFmtId="14" fontId="21" fillId="0" borderId="9" xfId="0" quotePrefix="1" applyNumberFormat="1" applyFont="1" applyBorder="1" applyAlignment="1">
      <alignment horizontal="center"/>
    </xf>
    <xf numFmtId="0" fontId="24" fillId="3" borderId="2" xfId="0" applyFont="1" applyFill="1" applyBorder="1" applyAlignment="1">
      <alignment horizontal="center" vertical="center" wrapText="1"/>
    </xf>
    <xf numFmtId="41" fontId="24" fillId="3" borderId="2" xfId="2" applyFont="1" applyFill="1" applyBorder="1" applyAlignment="1">
      <alignment horizontal="center" vertical="center" wrapText="1"/>
    </xf>
    <xf numFmtId="0" fontId="24" fillId="8" borderId="3" xfId="0" applyFont="1" applyFill="1" applyBorder="1" applyAlignment="1">
      <alignment horizontal="center" vertical="center" wrapText="1"/>
    </xf>
    <xf numFmtId="0" fontId="24" fillId="8" borderId="4" xfId="0" applyFont="1" applyFill="1" applyBorder="1" applyAlignment="1">
      <alignment horizontal="center" vertical="center" wrapText="1"/>
    </xf>
    <xf numFmtId="49" fontId="24" fillId="4" borderId="2" xfId="2" applyNumberFormat="1" applyFont="1" applyFill="1" applyBorder="1" applyAlignment="1">
      <alignment horizontal="center" vertical="center" wrapText="1"/>
    </xf>
    <xf numFmtId="49" fontId="24" fillId="3" borderId="2" xfId="2" applyNumberFormat="1" applyFont="1" applyFill="1" applyBorder="1" applyAlignment="1">
      <alignment horizontal="center" vertical="center" wrapText="1"/>
    </xf>
    <xf numFmtId="49" fontId="24" fillId="4" borderId="2" xfId="0" applyNumberFormat="1" applyFont="1" applyFill="1" applyBorder="1" applyAlignment="1">
      <alignment horizontal="center" vertical="center" wrapText="1"/>
    </xf>
    <xf numFmtId="168" fontId="8" fillId="8" borderId="2" xfId="1" applyNumberFormat="1" applyFont="1" applyFill="1" applyBorder="1" applyAlignment="1">
      <alignment horizontal="center" vertical="center"/>
    </xf>
    <xf numFmtId="168" fontId="7" fillId="8" borderId="5" xfId="1" applyNumberFormat="1" applyFont="1" applyFill="1" applyBorder="1" applyAlignment="1">
      <alignment horizontal="center" vertical="center"/>
    </xf>
    <xf numFmtId="168" fontId="7" fillId="8" borderId="8" xfId="1" applyNumberFormat="1" applyFont="1" applyFill="1" applyBorder="1" applyAlignment="1">
      <alignment horizontal="center" vertical="center"/>
    </xf>
    <xf numFmtId="168" fontId="7" fillId="8" borderId="5" xfId="1" applyNumberFormat="1" applyFont="1" applyFill="1" applyBorder="1" applyAlignment="1">
      <alignment horizontal="center" vertical="center" wrapText="1"/>
    </xf>
    <xf numFmtId="168" fontId="7" fillId="8" borderId="8" xfId="1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top" wrapText="1"/>
    </xf>
    <xf numFmtId="0" fontId="21" fillId="0" borderId="0" xfId="0" applyFont="1" applyAlignment="1">
      <alignment horizontal="center" vertical="top" wrapText="1"/>
    </xf>
    <xf numFmtId="0" fontId="24" fillId="0" borderId="0" xfId="0" applyFont="1" applyAlignment="1">
      <alignment horizontal="center"/>
    </xf>
    <xf numFmtId="0" fontId="24" fillId="0" borderId="9" xfId="0" applyFont="1" applyBorder="1" applyAlignment="1">
      <alignment horizontal="center" vertical="top" wrapText="1"/>
    </xf>
    <xf numFmtId="0" fontId="24" fillId="0" borderId="4" xfId="0" applyFont="1" applyBorder="1" applyAlignment="1">
      <alignment horizontal="center" vertical="top" wrapText="1"/>
    </xf>
    <xf numFmtId="0" fontId="21" fillId="0" borderId="0" xfId="0" applyFont="1" applyAlignment="1">
      <alignment horizontal="center"/>
    </xf>
    <xf numFmtId="0" fontId="24" fillId="0" borderId="0" xfId="0" applyFont="1" applyAlignment="1">
      <alignment horizontal="center" vertical="top" wrapText="1"/>
    </xf>
    <xf numFmtId="0" fontId="39" fillId="0" borderId="3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168" fontId="44" fillId="0" borderId="0" xfId="1" applyNumberFormat="1" applyFont="1" applyAlignment="1">
      <alignment horizontal="center"/>
    </xf>
    <xf numFmtId="168" fontId="33" fillId="0" borderId="0" xfId="1" applyNumberFormat="1" applyFont="1" applyAlignment="1">
      <alignment horizontal="center"/>
    </xf>
    <xf numFmtId="0" fontId="35" fillId="0" borderId="0" xfId="0" applyFont="1" applyAlignment="1">
      <alignment horizontal="center" vertical="top" wrapText="1"/>
    </xf>
    <xf numFmtId="0" fontId="49" fillId="0" borderId="0" xfId="0" applyFont="1" applyAlignment="1">
      <alignment horizontal="center" vertical="top" wrapText="1"/>
    </xf>
  </cellXfs>
  <cellStyles count="11">
    <cellStyle name="Comma" xfId="1" builtinId="3"/>
    <cellStyle name="Comma [0]" xfId="2" builtinId="6"/>
    <cellStyle name="Comma [0] 2" xfId="6" xr:uid="{00000000-0005-0000-0000-000002000000}"/>
    <cellStyle name="Comma [0] 2 2" xfId="10" xr:uid="{00000000-0005-0000-0000-000003000000}"/>
    <cellStyle name="Comma [0] 3" xfId="8" xr:uid="{00000000-0005-0000-0000-000004000000}"/>
    <cellStyle name="Comma 2" xfId="4" xr:uid="{00000000-0005-0000-0000-000005000000}"/>
    <cellStyle name="Comma 2 2" xfId="9" xr:uid="{00000000-0005-0000-0000-000006000000}"/>
    <cellStyle name="Comma 3" xfId="7" xr:uid="{00000000-0005-0000-0000-000007000000}"/>
    <cellStyle name="Normal" xfId="0" builtinId="0"/>
    <cellStyle name="Normal_Bang CDPS" xfId="3" xr:uid="{00000000-0005-0000-0000-000009000000}"/>
    <cellStyle name="Normal_PHIEU KETOAN" xfId="5" xr:uid="{00000000-0005-0000-0000-00000A000000}"/>
  </cellStyles>
  <dxfs count="0"/>
  <tableStyles count="0" defaultTableStyle="TableStyleMedium9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3514725</xdr:colOff>
          <xdr:row>5</xdr:row>
          <xdr:rowOff>9525</xdr:rowOff>
        </xdr:from>
        <xdr:to>
          <xdr:col>21</xdr:col>
          <xdr:colOff>1028700</xdr:colOff>
          <xdr:row>6</xdr:row>
          <xdr:rowOff>38100</xdr:rowOff>
        </xdr:to>
        <xdr:sp macro="" textlink="">
          <xdr:nvSpPr>
            <xdr:cNvPr id="1085" name="ComboBox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1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"/>
  <sheetViews>
    <sheetView tabSelected="1" zoomScale="130" zoomScaleNormal="130" workbookViewId="0">
      <selection activeCell="B11" sqref="B11"/>
    </sheetView>
  </sheetViews>
  <sheetFormatPr defaultColWidth="9" defaultRowHeight="15.75" x14ac:dyDescent="0.25"/>
  <cols>
    <col min="1" max="1" width="9" style="53"/>
    <col min="2" max="2" width="47.75" style="53" customWidth="1"/>
    <col min="3" max="3" width="9.5" style="53" customWidth="1"/>
    <col min="4" max="4" width="14.875" style="53" customWidth="1"/>
    <col min="5" max="5" width="12.625" style="53" customWidth="1"/>
    <col min="6" max="6" width="12.25" style="53" customWidth="1"/>
    <col min="7" max="16384" width="9" style="53"/>
  </cols>
  <sheetData>
    <row r="1" spans="1:6" ht="16.5" customHeight="1" x14ac:dyDescent="0.25">
      <c r="A1" s="367" t="s">
        <v>613</v>
      </c>
    </row>
    <row r="2" spans="1:6" ht="16.5" customHeight="1" x14ac:dyDescent="0.25">
      <c r="D2" s="57"/>
    </row>
    <row r="3" spans="1:6" ht="16.5" customHeight="1" x14ac:dyDescent="0.4">
      <c r="A3" s="54" t="s">
        <v>470</v>
      </c>
      <c r="B3" s="61" t="s">
        <v>614</v>
      </c>
      <c r="C3" s="55" t="s">
        <v>471</v>
      </c>
      <c r="D3" s="55" t="s">
        <v>612</v>
      </c>
      <c r="E3" s="376" t="s">
        <v>517</v>
      </c>
      <c r="F3" s="53" t="s">
        <v>516</v>
      </c>
    </row>
    <row r="4" spans="1:6" ht="16.5" customHeight="1" x14ac:dyDescent="0.25">
      <c r="B4" s="58" t="s">
        <v>472</v>
      </c>
      <c r="D4" s="396"/>
    </row>
    <row r="5" spans="1:6" ht="16.5" customHeight="1" x14ac:dyDescent="0.25">
      <c r="B5" s="58"/>
      <c r="D5" s="396"/>
    </row>
    <row r="6" spans="1:6" ht="16.5" customHeight="1" x14ac:dyDescent="0.25">
      <c r="B6" s="56" t="s">
        <v>575</v>
      </c>
      <c r="C6" s="60"/>
      <c r="D6" s="397"/>
      <c r="E6" s="377">
        <v>0.4</v>
      </c>
      <c r="F6" s="379"/>
    </row>
    <row r="7" spans="1:6" ht="16.5" customHeight="1" x14ac:dyDescent="0.25">
      <c r="B7" s="56" t="s">
        <v>518</v>
      </c>
      <c r="C7" s="60"/>
      <c r="D7" s="397"/>
      <c r="E7" s="377">
        <v>0.4</v>
      </c>
      <c r="F7" s="379"/>
    </row>
    <row r="8" spans="1:6" ht="16.5" customHeight="1" x14ac:dyDescent="0.25">
      <c r="B8" s="56" t="s">
        <v>473</v>
      </c>
      <c r="C8" s="60"/>
      <c r="D8" s="397"/>
      <c r="E8" s="377">
        <v>0.4</v>
      </c>
      <c r="F8" s="379"/>
    </row>
    <row r="9" spans="1:6" ht="33" customHeight="1" x14ac:dyDescent="0.25">
      <c r="B9" s="395" t="s">
        <v>615</v>
      </c>
      <c r="C9" s="372"/>
      <c r="D9" s="397"/>
      <c r="E9" s="377">
        <v>0.4</v>
      </c>
      <c r="F9" s="379"/>
    </row>
    <row r="10" spans="1:6" ht="16.5" customHeight="1" x14ac:dyDescent="0.25">
      <c r="B10" s="393" t="s">
        <v>474</v>
      </c>
      <c r="C10" s="59"/>
      <c r="D10" s="396"/>
      <c r="E10" s="377"/>
      <c r="F10" s="379"/>
    </row>
    <row r="11" spans="1:6" ht="16.5" customHeight="1" x14ac:dyDescent="0.25">
      <c r="B11" s="56" t="s">
        <v>570</v>
      </c>
      <c r="C11" s="61"/>
      <c r="D11" s="397"/>
      <c r="E11" s="377">
        <v>0.4</v>
      </c>
      <c r="F11" s="379"/>
    </row>
    <row r="12" spans="1:6" ht="16.5" customHeight="1" x14ac:dyDescent="0.25">
      <c r="B12" s="393" t="s">
        <v>475</v>
      </c>
      <c r="C12" s="58"/>
      <c r="D12" s="396"/>
      <c r="E12" s="378">
        <f>SUM(E6:E11)</f>
        <v>2</v>
      </c>
      <c r="F12" s="380">
        <f>SUM(F6:F11)</f>
        <v>0</v>
      </c>
    </row>
    <row r="13" spans="1:6" x14ac:dyDescent="0.25">
      <c r="B13" s="61"/>
      <c r="C13" s="61"/>
    </row>
    <row r="14" spans="1:6" x14ac:dyDescent="0.25">
      <c r="B14" s="61"/>
      <c r="C14" s="61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C5:H10"/>
  <sheetViews>
    <sheetView workbookViewId="0">
      <selection activeCell="G8" sqref="G8"/>
    </sheetView>
  </sheetViews>
  <sheetFormatPr defaultRowHeight="17.25" x14ac:dyDescent="0.3"/>
  <cols>
    <col min="3" max="3" width="14.5" customWidth="1"/>
    <col min="4" max="8" width="16.25" customWidth="1"/>
  </cols>
  <sheetData>
    <row r="5" spans="3:8" x14ac:dyDescent="0.3">
      <c r="C5" s="36">
        <v>0.02</v>
      </c>
      <c r="D5" s="36">
        <v>0.22</v>
      </c>
      <c r="E5" s="37" t="s">
        <v>221</v>
      </c>
      <c r="F5" s="37" t="s">
        <v>323</v>
      </c>
      <c r="G5" s="37" t="s">
        <v>322</v>
      </c>
      <c r="H5" s="37" t="s">
        <v>321</v>
      </c>
    </row>
    <row r="6" spans="3:8" x14ac:dyDescent="0.3">
      <c r="C6" s="34">
        <f>E6*0.02</f>
        <v>1100000</v>
      </c>
      <c r="D6" s="34">
        <f>E6*0.22</f>
        <v>12100000</v>
      </c>
      <c r="E6" s="38">
        <v>55000000</v>
      </c>
      <c r="F6" s="33">
        <f>E6*10.5%</f>
        <v>5775000</v>
      </c>
      <c r="G6" s="33">
        <v>25000000</v>
      </c>
      <c r="H6" s="33">
        <f>E6-F6-G6</f>
        <v>24225000</v>
      </c>
    </row>
    <row r="7" spans="3:8" x14ac:dyDescent="0.3">
      <c r="C7" s="34">
        <f t="shared" ref="C7:C8" si="0">E7*0.02</f>
        <v>700000</v>
      </c>
      <c r="D7" s="34">
        <f t="shared" ref="D7:D8" si="1">E7*0.22</f>
        <v>7700000</v>
      </c>
      <c r="E7" s="38">
        <v>35000000</v>
      </c>
      <c r="F7" s="33">
        <f t="shared" ref="F7:F8" si="2">E7*10.5%</f>
        <v>3675000</v>
      </c>
      <c r="G7" s="33">
        <v>15000000</v>
      </c>
      <c r="H7" s="33">
        <f t="shared" ref="H7:H8" si="3">E7-F7-G7</f>
        <v>16325000</v>
      </c>
    </row>
    <row r="8" spans="3:8" x14ac:dyDescent="0.3">
      <c r="C8" s="34">
        <f t="shared" si="0"/>
        <v>500000</v>
      </c>
      <c r="D8" s="34">
        <f t="shared" si="1"/>
        <v>5500000</v>
      </c>
      <c r="E8" s="38">
        <v>25000000</v>
      </c>
      <c r="F8" s="33">
        <f t="shared" si="2"/>
        <v>2625000</v>
      </c>
      <c r="G8" s="33">
        <v>10000000</v>
      </c>
      <c r="H8" s="33">
        <f t="shared" si="3"/>
        <v>12375000</v>
      </c>
    </row>
    <row r="9" spans="3:8" x14ac:dyDescent="0.3">
      <c r="E9" s="39">
        <f>SUM(E6:E8)</f>
        <v>115000000</v>
      </c>
      <c r="F9" s="35">
        <f t="shared" ref="F9:H9" si="4">SUM(F6:F8)</f>
        <v>12075000</v>
      </c>
      <c r="G9" s="35">
        <f t="shared" si="4"/>
        <v>50000000</v>
      </c>
      <c r="H9" s="35">
        <f t="shared" si="4"/>
        <v>52925000</v>
      </c>
    </row>
    <row r="10" spans="3:8" x14ac:dyDescent="0.3">
      <c r="E10" s="33"/>
      <c r="F10" s="33"/>
      <c r="G10" s="33"/>
      <c r="H10" s="3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pageSetUpPr fitToPage="1"/>
  </sheetPr>
  <dimension ref="A1:Y138"/>
  <sheetViews>
    <sheetView topLeftCell="B15" zoomScale="115" zoomScaleNormal="115" workbookViewId="0">
      <selection activeCell="B15" sqref="B15"/>
    </sheetView>
  </sheetViews>
  <sheetFormatPr defaultColWidth="9" defaultRowHeight="15.75" x14ac:dyDescent="0.25"/>
  <cols>
    <col min="1" max="1" width="13.375" style="69" hidden="1" customWidth="1"/>
    <col min="2" max="2" width="15.5" style="69" customWidth="1"/>
    <col min="3" max="3" width="13.375" style="65" customWidth="1"/>
    <col min="4" max="4" width="53.25" style="63" customWidth="1"/>
    <col min="5" max="5" width="5.625" style="63" hidden="1" customWidth="1"/>
    <col min="6" max="6" width="2.75" style="63" hidden="1" customWidth="1"/>
    <col min="7" max="8" width="6.5" style="63" customWidth="1"/>
    <col min="9" max="10" width="11.375" style="63" customWidth="1"/>
    <col min="11" max="11" width="17.375" style="180" customWidth="1"/>
    <col min="12" max="12" width="15.75" style="75" customWidth="1"/>
    <col min="13" max="13" width="16.625" style="75" customWidth="1"/>
    <col min="14" max="14" width="13.125" style="68" customWidth="1"/>
    <col min="15" max="15" width="14.875" style="68" customWidth="1"/>
    <col min="16" max="16" width="13.125" style="68" customWidth="1"/>
    <col min="17" max="17" width="46.25" style="180" customWidth="1"/>
    <col min="18" max="18" width="6.125" style="180" customWidth="1"/>
    <col min="19" max="19" width="6.625" style="180" customWidth="1"/>
    <col min="20" max="20" width="9.5" style="180" customWidth="1"/>
    <col min="21" max="21" width="17.125" style="63" customWidth="1"/>
    <col min="22" max="22" width="16.625" style="63" customWidth="1"/>
    <col min="23" max="16384" width="9" style="63"/>
  </cols>
  <sheetData>
    <row r="1" spans="1:25" x14ac:dyDescent="0.25">
      <c r="A1" s="63" t="s">
        <v>317</v>
      </c>
      <c r="B1" s="373" t="s">
        <v>620</v>
      </c>
      <c r="J1" s="66" t="s">
        <v>54</v>
      </c>
      <c r="K1" s="67"/>
      <c r="L1" s="67"/>
      <c r="M1" s="66"/>
      <c r="N1" s="63" t="str">
        <f>B1</f>
        <v>Công ty TNHH Dịch vụ Ngôi Sao</v>
      </c>
      <c r="Q1" s="66"/>
      <c r="R1" s="66"/>
      <c r="S1" s="66"/>
      <c r="T1" s="66"/>
      <c r="U1" s="66" t="s">
        <v>55</v>
      </c>
      <c r="V1" s="67"/>
    </row>
    <row r="2" spans="1:25" x14ac:dyDescent="0.25">
      <c r="A2" s="63" t="s">
        <v>294</v>
      </c>
      <c r="B2" s="63" t="s">
        <v>521</v>
      </c>
      <c r="C2" s="63"/>
      <c r="J2" s="69"/>
      <c r="K2" s="63"/>
      <c r="L2" s="63"/>
      <c r="M2" s="69"/>
      <c r="N2" s="63" t="str">
        <f>B2</f>
        <v>360 Nguyễn Thị Minh Khai, Phường 5, Quận 3, TP.HCM</v>
      </c>
      <c r="Q2" s="69"/>
      <c r="R2" s="69"/>
      <c r="S2" s="69"/>
      <c r="T2" s="69"/>
      <c r="U2" s="69"/>
    </row>
    <row r="3" spans="1:25" x14ac:dyDescent="0.25">
      <c r="A3" s="63"/>
      <c r="B3" s="63"/>
      <c r="C3" s="63"/>
      <c r="J3" s="69"/>
      <c r="K3" s="63"/>
      <c r="L3" s="63"/>
      <c r="M3" s="69"/>
      <c r="N3" s="63"/>
      <c r="Q3" s="69"/>
      <c r="R3" s="69"/>
      <c r="S3" s="69"/>
      <c r="T3" s="69"/>
      <c r="U3" s="69"/>
    </row>
    <row r="4" spans="1:25" ht="21.75" customHeight="1" x14ac:dyDescent="0.25">
      <c r="A4" s="70"/>
      <c r="B4" s="70" t="s">
        <v>159</v>
      </c>
      <c r="C4" s="71"/>
      <c r="D4" s="72"/>
      <c r="E4" s="72"/>
      <c r="F4" s="72"/>
      <c r="G4" s="72"/>
      <c r="H4" s="72"/>
      <c r="I4" s="72"/>
      <c r="J4" s="72"/>
      <c r="K4" s="73"/>
      <c r="L4" s="74"/>
      <c r="N4" s="73"/>
      <c r="P4" s="73"/>
      <c r="Q4" s="76" t="s">
        <v>160</v>
      </c>
      <c r="R4" s="73"/>
      <c r="S4" s="73"/>
      <c r="T4" s="73"/>
      <c r="U4" s="72"/>
      <c r="V4" s="72"/>
      <c r="Y4" s="63" t="s">
        <v>160</v>
      </c>
    </row>
    <row r="5" spans="1:25" ht="18.75" customHeight="1" x14ac:dyDescent="0.25">
      <c r="A5" s="72"/>
      <c r="B5" s="72" t="s">
        <v>619</v>
      </c>
      <c r="C5" s="71"/>
      <c r="D5" s="72"/>
      <c r="E5" s="72"/>
      <c r="F5" s="72"/>
      <c r="G5" s="72"/>
      <c r="H5" s="72"/>
      <c r="I5" s="72"/>
      <c r="J5" s="72"/>
      <c r="K5" s="73"/>
      <c r="L5" s="74"/>
      <c r="M5" s="77"/>
      <c r="N5" s="73"/>
      <c r="P5" s="73"/>
      <c r="Q5" s="73" t="str">
        <f>B5</f>
        <v>Tháng 11/2023</v>
      </c>
      <c r="R5" s="73"/>
      <c r="S5" s="73"/>
      <c r="T5" s="73"/>
      <c r="U5" s="72"/>
      <c r="V5" s="72"/>
      <c r="W5" s="78"/>
      <c r="Y5" s="63" t="s">
        <v>161</v>
      </c>
    </row>
    <row r="6" spans="1:25" ht="18.75" customHeight="1" x14ac:dyDescent="0.25">
      <c r="D6" s="69"/>
      <c r="E6" s="69"/>
      <c r="F6" s="69"/>
      <c r="G6" s="69"/>
      <c r="H6" s="69"/>
      <c r="I6" s="69"/>
      <c r="K6" s="68"/>
      <c r="L6" s="77"/>
      <c r="M6" s="77"/>
      <c r="O6" s="69"/>
      <c r="Q6" s="79" t="s">
        <v>162</v>
      </c>
      <c r="R6" s="73"/>
      <c r="S6" s="73"/>
      <c r="T6" s="80" t="s">
        <v>138</v>
      </c>
      <c r="U6" s="67"/>
    </row>
    <row r="7" spans="1:25" ht="18.75" customHeight="1" x14ac:dyDescent="0.25">
      <c r="D7" s="69"/>
      <c r="E7" s="69"/>
      <c r="F7" s="69"/>
      <c r="G7" s="69"/>
      <c r="H7" s="69"/>
      <c r="I7" s="69"/>
      <c r="K7" s="81" t="s">
        <v>142</v>
      </c>
      <c r="L7" s="77"/>
      <c r="M7" s="77"/>
      <c r="Q7" s="79" t="s">
        <v>163</v>
      </c>
      <c r="R7" s="73"/>
      <c r="S7" s="73"/>
      <c r="T7" s="80" t="str">
        <f>VLOOKUP(T6,'Bang CDPS'!B8:C105,2,0)</f>
        <v>Doanh thu bán hàng và cung câp dịch vụ</v>
      </c>
      <c r="U7" s="72"/>
      <c r="V7" s="72"/>
    </row>
    <row r="8" spans="1:25" ht="6.75" customHeight="1" x14ac:dyDescent="0.25">
      <c r="D8" s="69"/>
      <c r="E8" s="69"/>
      <c r="F8" s="69"/>
      <c r="G8" s="69"/>
      <c r="H8" s="69"/>
      <c r="K8" s="81"/>
      <c r="L8" s="82"/>
      <c r="M8" s="77"/>
      <c r="Q8" s="68"/>
      <c r="R8" s="68"/>
      <c r="S8" s="68"/>
      <c r="T8" s="68"/>
    </row>
    <row r="9" spans="1:25" s="66" customFormat="1" ht="31.5" customHeight="1" x14ac:dyDescent="0.25">
      <c r="A9" s="399" t="s">
        <v>164</v>
      </c>
      <c r="B9" s="400" t="s">
        <v>143</v>
      </c>
      <c r="C9" s="400"/>
      <c r="D9" s="399" t="s">
        <v>144</v>
      </c>
      <c r="E9" s="399" t="s">
        <v>148</v>
      </c>
      <c r="F9" s="399" t="s">
        <v>149</v>
      </c>
      <c r="G9" s="401" t="s">
        <v>291</v>
      </c>
      <c r="H9" s="401" t="s">
        <v>292</v>
      </c>
      <c r="I9" s="404" t="s">
        <v>150</v>
      </c>
      <c r="J9" s="404"/>
      <c r="K9" s="400" t="s">
        <v>153</v>
      </c>
      <c r="L9" s="83"/>
      <c r="M9" s="83"/>
      <c r="N9" s="403" t="s">
        <v>154</v>
      </c>
      <c r="O9" s="405" t="s">
        <v>143</v>
      </c>
      <c r="P9" s="405"/>
      <c r="Q9" s="403" t="s">
        <v>144</v>
      </c>
      <c r="R9" s="403" t="s">
        <v>155</v>
      </c>
      <c r="S9" s="403"/>
      <c r="T9" s="403" t="s">
        <v>157</v>
      </c>
      <c r="U9" s="403" t="s">
        <v>153</v>
      </c>
      <c r="V9" s="403"/>
      <c r="W9" s="84">
        <f>LEN(T6)</f>
        <v>3</v>
      </c>
    </row>
    <row r="10" spans="1:25" s="66" customFormat="1" ht="45" customHeight="1" x14ac:dyDescent="0.25">
      <c r="A10" s="399"/>
      <c r="B10" s="85" t="s">
        <v>147</v>
      </c>
      <c r="C10" s="86" t="s">
        <v>145</v>
      </c>
      <c r="D10" s="399"/>
      <c r="E10" s="399"/>
      <c r="F10" s="399"/>
      <c r="G10" s="402"/>
      <c r="H10" s="402"/>
      <c r="I10" s="87" t="s">
        <v>151</v>
      </c>
      <c r="J10" s="87" t="s">
        <v>152</v>
      </c>
      <c r="K10" s="400"/>
      <c r="L10" s="83"/>
      <c r="M10" s="83"/>
      <c r="N10" s="403"/>
      <c r="O10" s="88" t="s">
        <v>147</v>
      </c>
      <c r="P10" s="88" t="s">
        <v>145</v>
      </c>
      <c r="Q10" s="403"/>
      <c r="R10" s="88" t="s">
        <v>1</v>
      </c>
      <c r="S10" s="88" t="s">
        <v>156</v>
      </c>
      <c r="T10" s="403"/>
      <c r="U10" s="88" t="s">
        <v>151</v>
      </c>
      <c r="V10" s="88" t="s">
        <v>152</v>
      </c>
    </row>
    <row r="11" spans="1:25" s="66" customFormat="1" ht="16.5" customHeight="1" x14ac:dyDescent="0.25">
      <c r="A11" s="89">
        <v>1</v>
      </c>
      <c r="B11" s="89">
        <v>1</v>
      </c>
      <c r="C11" s="89">
        <v>2</v>
      </c>
      <c r="D11" s="89">
        <v>3</v>
      </c>
      <c r="E11" s="89">
        <v>5</v>
      </c>
      <c r="F11" s="89">
        <v>6</v>
      </c>
      <c r="G11" s="90"/>
      <c r="H11" s="90"/>
      <c r="I11" s="91" t="s">
        <v>429</v>
      </c>
      <c r="J11" s="91" t="s">
        <v>353</v>
      </c>
      <c r="K11" s="91" t="s">
        <v>430</v>
      </c>
      <c r="L11" s="92"/>
      <c r="M11" s="92"/>
      <c r="N11" s="93" t="s">
        <v>324</v>
      </c>
      <c r="O11" s="93" t="s">
        <v>325</v>
      </c>
      <c r="P11" s="93" t="s">
        <v>431</v>
      </c>
      <c r="Q11" s="93" t="s">
        <v>429</v>
      </c>
      <c r="R11" s="93" t="s">
        <v>353</v>
      </c>
      <c r="S11" s="93" t="s">
        <v>430</v>
      </c>
      <c r="T11" s="93" t="s">
        <v>185</v>
      </c>
      <c r="U11" s="94" t="s">
        <v>179</v>
      </c>
      <c r="V11" s="94" t="s">
        <v>180</v>
      </c>
    </row>
    <row r="12" spans="1:25" x14ac:dyDescent="0.25">
      <c r="A12" s="95"/>
      <c r="B12" s="95"/>
      <c r="C12" s="95"/>
      <c r="D12" s="95" t="s">
        <v>2</v>
      </c>
      <c r="E12" s="95"/>
      <c r="F12" s="95"/>
      <c r="G12" s="96"/>
      <c r="H12" s="96"/>
      <c r="I12" s="95"/>
      <c r="J12" s="95"/>
      <c r="K12" s="95"/>
      <c r="L12" s="97"/>
      <c r="M12" s="97"/>
      <c r="N12" s="98"/>
      <c r="O12" s="98"/>
      <c r="P12" s="98"/>
      <c r="Q12" s="98" t="s">
        <v>158</v>
      </c>
      <c r="R12" s="98"/>
      <c r="S12" s="98"/>
      <c r="T12" s="98"/>
      <c r="U12" s="99">
        <f>VLOOKUP(T6,'Bang CDPS'!B8:E105,3,0)</f>
        <v>0</v>
      </c>
      <c r="V12" s="99">
        <f>VLOOKUP(T6,'Bang CDPS'!B8:E105,4,0)</f>
        <v>0</v>
      </c>
    </row>
    <row r="13" spans="1:25" ht="23.25" customHeight="1" x14ac:dyDescent="0.25">
      <c r="A13" s="100"/>
      <c r="B13" s="101"/>
      <c r="C13" s="102"/>
      <c r="D13" s="103"/>
      <c r="E13" s="104"/>
      <c r="F13" s="105"/>
      <c r="G13" s="106"/>
      <c r="H13" s="106"/>
      <c r="I13" s="107"/>
      <c r="J13" s="107"/>
      <c r="K13" s="108"/>
      <c r="L13" s="109"/>
      <c r="M13" s="109"/>
      <c r="N13" s="110" t="str">
        <f>IF(T13&lt;&gt;"",$A13,"-")</f>
        <v>-</v>
      </c>
      <c r="O13" s="111" t="str">
        <f>IF(T13&lt;&gt;"",$B13,"-")</f>
        <v>-</v>
      </c>
      <c r="P13" s="112" t="str">
        <f>IF(T13&lt;&gt;"",$C13,"-")</f>
        <v>-</v>
      </c>
      <c r="Q13" s="113" t="str">
        <f>IF(T13&lt;&gt;"",$D13,"")</f>
        <v/>
      </c>
      <c r="R13" s="113"/>
      <c r="S13" s="111" t="str">
        <f t="shared" ref="S13" si="0">IF(T13&lt;&gt;"",$F13,"-")</f>
        <v>-</v>
      </c>
      <c r="T13" s="114" t="str">
        <f t="shared" ref="T13" si="1">IF(LEFT(T$6,W$9)=LEFT($I13,W$9),$J13,"")&amp;IF(LEFT(T$6,W$9)=LEFT($J13,W$9),$I13,"")</f>
        <v/>
      </c>
      <c r="U13" s="115" t="str">
        <f t="shared" ref="U13" si="2">IF(LEFT(T$6,W$9)=LEFT($I13,W$9),$K13,"-")</f>
        <v>-</v>
      </c>
      <c r="V13" s="115" t="str">
        <f t="shared" ref="V13" si="3">IF(LEFT(T$6,W$9)=LEFT($J13,W$9),$K13,"-")</f>
        <v>-</v>
      </c>
    </row>
    <row r="14" spans="1:25" ht="23.25" customHeight="1" x14ac:dyDescent="0.25">
      <c r="A14" s="398"/>
      <c r="B14" s="125" t="s">
        <v>333</v>
      </c>
      <c r="C14" s="126" t="s">
        <v>622</v>
      </c>
      <c r="D14" s="128" t="s">
        <v>637</v>
      </c>
      <c r="E14" s="119"/>
      <c r="F14" s="120"/>
      <c r="G14" s="121"/>
      <c r="H14" s="121"/>
      <c r="I14" s="122"/>
      <c r="J14" s="197"/>
      <c r="K14" s="133"/>
      <c r="L14" s="124">
        <f ca="1">K$128-'Bang CDPS'!F$105</f>
        <v>0</v>
      </c>
      <c r="M14" s="124">
        <f ca="1">K$128-'Bang CDPS'!G$105</f>
        <v>0</v>
      </c>
      <c r="N14" s="110"/>
      <c r="O14" s="111"/>
      <c r="P14" s="112"/>
      <c r="Q14" s="113"/>
      <c r="R14" s="113"/>
      <c r="S14" s="111"/>
      <c r="T14" s="114"/>
      <c r="U14" s="115"/>
      <c r="V14" s="115"/>
    </row>
    <row r="15" spans="1:25" ht="23.25" customHeight="1" x14ac:dyDescent="0.25">
      <c r="A15" s="398"/>
      <c r="B15" s="125"/>
      <c r="C15" s="126"/>
      <c r="D15" s="132"/>
      <c r="E15" s="119"/>
      <c r="F15" s="120"/>
      <c r="G15" s="121"/>
      <c r="H15" s="121"/>
      <c r="I15" s="122"/>
      <c r="J15" s="197"/>
      <c r="K15" s="133"/>
      <c r="L15" s="124">
        <f ca="1">K$128-'Bang CDPS'!F$105</f>
        <v>0</v>
      </c>
      <c r="M15" s="124">
        <f ca="1">K$128-'Bang CDPS'!G$105</f>
        <v>0</v>
      </c>
      <c r="N15" s="110"/>
      <c r="O15" s="111"/>
      <c r="P15" s="112"/>
      <c r="Q15" s="113"/>
      <c r="R15" s="113"/>
      <c r="S15" s="111"/>
      <c r="T15" s="114"/>
      <c r="U15" s="115"/>
      <c r="V15" s="115"/>
    </row>
    <row r="16" spans="1:25" ht="18.75" customHeight="1" x14ac:dyDescent="0.25">
      <c r="A16" s="116"/>
      <c r="B16" s="117" t="s">
        <v>608</v>
      </c>
      <c r="C16" s="126" t="s">
        <v>622</v>
      </c>
      <c r="D16" s="118" t="s">
        <v>632</v>
      </c>
      <c r="E16" s="119"/>
      <c r="F16" s="120"/>
      <c r="G16" s="121"/>
      <c r="H16" s="121"/>
      <c r="I16" s="197"/>
      <c r="J16" s="197"/>
      <c r="K16" s="123"/>
      <c r="L16" s="124">
        <f ca="1">K$128-'Bang CDPS'!F$105</f>
        <v>0</v>
      </c>
      <c r="M16" s="124">
        <f ca="1">K$128-'Bang CDPS'!G$105</f>
        <v>0</v>
      </c>
      <c r="N16" s="110"/>
      <c r="O16" s="111"/>
      <c r="P16" s="112"/>
      <c r="Q16" s="113"/>
      <c r="R16" s="113"/>
      <c r="S16" s="111"/>
      <c r="T16" s="114"/>
      <c r="U16" s="115"/>
      <c r="V16" s="115"/>
    </row>
    <row r="17" spans="1:22" ht="18.75" customHeight="1" x14ac:dyDescent="0.25">
      <c r="A17" s="116"/>
      <c r="B17" s="117" t="s">
        <v>608</v>
      </c>
      <c r="C17" s="126" t="s">
        <v>622</v>
      </c>
      <c r="D17" s="118" t="s">
        <v>633</v>
      </c>
      <c r="E17" s="119"/>
      <c r="F17" s="120"/>
      <c r="G17" s="121"/>
      <c r="H17" s="121"/>
      <c r="I17" s="197"/>
      <c r="J17" s="197"/>
      <c r="K17" s="123"/>
      <c r="L17" s="124">
        <f ca="1">K$128-'Bang CDPS'!F$105</f>
        <v>0</v>
      </c>
      <c r="M17" s="124">
        <f ca="1">K$128-'Bang CDPS'!G$105</f>
        <v>0</v>
      </c>
      <c r="N17" s="110"/>
      <c r="O17" s="111"/>
      <c r="P17" s="112"/>
      <c r="Q17" s="113"/>
      <c r="R17" s="113"/>
      <c r="S17" s="111"/>
      <c r="T17" s="114"/>
      <c r="U17" s="115"/>
      <c r="V17" s="115"/>
    </row>
    <row r="18" spans="1:22" ht="18.75" customHeight="1" x14ac:dyDescent="0.25">
      <c r="A18" s="116"/>
      <c r="B18" s="125" t="s">
        <v>341</v>
      </c>
      <c r="C18" s="126" t="s">
        <v>622</v>
      </c>
      <c r="D18" s="128" t="s">
        <v>634</v>
      </c>
      <c r="E18" s="119"/>
      <c r="F18" s="126"/>
      <c r="G18" s="127"/>
      <c r="H18" s="129"/>
      <c r="I18" s="197"/>
      <c r="J18" s="197"/>
      <c r="K18" s="130"/>
      <c r="L18" s="124">
        <f ca="1">K$128-'Bang CDPS'!F$105</f>
        <v>0</v>
      </c>
      <c r="M18" s="124">
        <f ca="1">K$128-'Bang CDPS'!G$105</f>
        <v>0</v>
      </c>
      <c r="N18" s="110"/>
      <c r="O18" s="111"/>
      <c r="P18" s="112"/>
      <c r="Q18" s="113"/>
      <c r="R18" s="113"/>
      <c r="S18" s="111"/>
      <c r="T18" s="114"/>
      <c r="U18" s="115"/>
      <c r="V18" s="115"/>
    </row>
    <row r="19" spans="1:22" ht="18.75" customHeight="1" x14ac:dyDescent="0.25">
      <c r="A19" s="116"/>
      <c r="B19" s="117"/>
      <c r="C19" s="126"/>
      <c r="D19" s="230"/>
      <c r="E19" s="119"/>
      <c r="F19" s="120"/>
      <c r="G19" s="121"/>
      <c r="H19" s="121"/>
      <c r="I19" s="197"/>
      <c r="J19" s="197"/>
      <c r="K19" s="123"/>
      <c r="L19" s="124">
        <f ca="1">K$128-'Bang CDPS'!F$105</f>
        <v>0</v>
      </c>
      <c r="M19" s="124">
        <f ca="1">K$128-'Bang CDPS'!G$105</f>
        <v>0</v>
      </c>
      <c r="N19" s="110"/>
      <c r="O19" s="111"/>
      <c r="P19" s="112"/>
      <c r="Q19" s="113"/>
      <c r="R19" s="113"/>
      <c r="S19" s="111"/>
      <c r="T19" s="114"/>
      <c r="U19" s="115"/>
      <c r="V19" s="115"/>
    </row>
    <row r="20" spans="1:22" ht="18.75" customHeight="1" x14ac:dyDescent="0.25">
      <c r="A20" s="116"/>
      <c r="B20" s="117" t="s">
        <v>334</v>
      </c>
      <c r="C20" s="126" t="s">
        <v>623</v>
      </c>
      <c r="D20" s="128" t="s">
        <v>508</v>
      </c>
      <c r="E20" s="119"/>
      <c r="F20" s="126"/>
      <c r="G20" s="127"/>
      <c r="H20" s="129"/>
      <c r="I20" s="197"/>
      <c r="J20" s="197"/>
      <c r="K20" s="368"/>
      <c r="L20" s="124">
        <f ca="1">K$128-'Bang CDPS'!F$105</f>
        <v>0</v>
      </c>
      <c r="M20" s="124">
        <f ca="1">K$128-'Bang CDPS'!G$105</f>
        <v>0</v>
      </c>
      <c r="N20" s="110"/>
      <c r="O20" s="111"/>
      <c r="P20" s="112"/>
      <c r="Q20" s="113"/>
      <c r="R20" s="113"/>
      <c r="S20" s="111"/>
      <c r="T20" s="114"/>
      <c r="U20" s="115"/>
      <c r="V20" s="115"/>
    </row>
    <row r="21" spans="1:22" ht="18.75" customHeight="1" x14ac:dyDescent="0.25">
      <c r="A21" s="116"/>
      <c r="B21" s="117" t="s">
        <v>334</v>
      </c>
      <c r="C21" s="126" t="s">
        <v>623</v>
      </c>
      <c r="D21" s="128" t="s">
        <v>509</v>
      </c>
      <c r="E21" s="119"/>
      <c r="F21" s="120"/>
      <c r="G21" s="121"/>
      <c r="H21" s="121"/>
      <c r="I21" s="197"/>
      <c r="J21" s="197"/>
      <c r="K21" s="368"/>
      <c r="L21" s="124">
        <f ca="1">K$128-'Bang CDPS'!F$105</f>
        <v>0</v>
      </c>
      <c r="M21" s="124">
        <f ca="1">K$128-'Bang CDPS'!G$105</f>
        <v>0</v>
      </c>
      <c r="N21" s="110"/>
      <c r="O21" s="111"/>
      <c r="P21" s="112"/>
      <c r="Q21" s="113"/>
      <c r="R21" s="113"/>
      <c r="S21" s="111"/>
      <c r="T21" s="114"/>
      <c r="U21" s="115"/>
      <c r="V21" s="115"/>
    </row>
    <row r="22" spans="1:22" ht="18.75" customHeight="1" x14ac:dyDescent="0.25">
      <c r="A22" s="116"/>
      <c r="B22" s="117"/>
      <c r="C22" s="126"/>
      <c r="D22" s="128"/>
      <c r="E22" s="119"/>
      <c r="F22" s="120"/>
      <c r="G22" s="121"/>
      <c r="H22" s="121"/>
      <c r="I22" s="197"/>
      <c r="J22" s="197"/>
      <c r="K22" s="123"/>
      <c r="L22" s="124">
        <f ca="1">K$128-'Bang CDPS'!F$105</f>
        <v>0</v>
      </c>
      <c r="M22" s="124">
        <f ca="1">K$128-'Bang CDPS'!G$105</f>
        <v>0</v>
      </c>
      <c r="N22" s="110"/>
      <c r="O22" s="111"/>
      <c r="P22" s="112"/>
      <c r="Q22" s="113"/>
      <c r="R22" s="113"/>
      <c r="S22" s="111"/>
      <c r="T22" s="114"/>
      <c r="U22" s="115"/>
      <c r="V22" s="115"/>
    </row>
    <row r="23" spans="1:22" ht="18.75" customHeight="1" x14ac:dyDescent="0.25">
      <c r="A23" s="116"/>
      <c r="B23" s="125" t="s">
        <v>335</v>
      </c>
      <c r="C23" s="126" t="s">
        <v>624</v>
      </c>
      <c r="D23" s="128" t="s">
        <v>502</v>
      </c>
      <c r="E23" s="119"/>
      <c r="F23" s="120"/>
      <c r="G23" s="121"/>
      <c r="H23" s="121"/>
      <c r="I23" s="197"/>
      <c r="J23" s="197"/>
      <c r="K23" s="123"/>
      <c r="L23" s="124">
        <f ca="1">K$128-'Bang CDPS'!F$105</f>
        <v>0</v>
      </c>
      <c r="M23" s="124">
        <f ca="1">K$128-'Bang CDPS'!G$105</f>
        <v>0</v>
      </c>
      <c r="N23" s="110"/>
      <c r="O23" s="111"/>
      <c r="P23" s="112"/>
      <c r="Q23" s="113"/>
      <c r="R23" s="113"/>
      <c r="S23" s="111"/>
      <c r="T23" s="114"/>
      <c r="U23" s="115"/>
      <c r="V23" s="115"/>
    </row>
    <row r="24" spans="1:22" ht="18.75" customHeight="1" x14ac:dyDescent="0.25">
      <c r="A24" s="116"/>
      <c r="B24" s="125" t="s">
        <v>335</v>
      </c>
      <c r="C24" s="126" t="s">
        <v>624</v>
      </c>
      <c r="D24" s="128" t="s">
        <v>503</v>
      </c>
      <c r="E24" s="119"/>
      <c r="F24" s="120"/>
      <c r="G24" s="121"/>
      <c r="H24" s="121"/>
      <c r="I24" s="197"/>
      <c r="J24" s="197"/>
      <c r="K24" s="123"/>
      <c r="L24" s="124">
        <f ca="1">K$128-'Bang CDPS'!F$105</f>
        <v>0</v>
      </c>
      <c r="M24" s="124">
        <f ca="1">K$128-'Bang CDPS'!G$105</f>
        <v>0</v>
      </c>
      <c r="N24" s="110"/>
      <c r="O24" s="111"/>
      <c r="P24" s="112"/>
      <c r="Q24" s="113"/>
      <c r="R24" s="113"/>
      <c r="S24" s="111"/>
      <c r="T24" s="114"/>
      <c r="U24" s="115"/>
      <c r="V24" s="115"/>
    </row>
    <row r="25" spans="1:22" ht="18.75" customHeight="1" x14ac:dyDescent="0.25">
      <c r="A25" s="116"/>
      <c r="B25" s="125"/>
      <c r="C25" s="126"/>
      <c r="D25" s="128"/>
      <c r="E25" s="119"/>
      <c r="F25" s="126"/>
      <c r="G25" s="127"/>
      <c r="H25" s="127"/>
      <c r="I25" s="231"/>
      <c r="J25" s="231"/>
      <c r="K25" s="123"/>
      <c r="L25" s="124">
        <f ca="1">K$128-'Bang CDPS'!F$105</f>
        <v>0</v>
      </c>
      <c r="M25" s="124">
        <f ca="1">K$128-'Bang CDPS'!G$105</f>
        <v>0</v>
      </c>
      <c r="N25" s="110"/>
      <c r="O25" s="111"/>
      <c r="P25" s="112"/>
      <c r="Q25" s="113"/>
      <c r="R25" s="113"/>
      <c r="S25" s="111"/>
      <c r="T25" s="114"/>
      <c r="U25" s="115"/>
      <c r="V25" s="115"/>
    </row>
    <row r="26" spans="1:22" ht="18.75" customHeight="1" x14ac:dyDescent="0.25">
      <c r="A26" s="116"/>
      <c r="B26" s="125" t="s">
        <v>566</v>
      </c>
      <c r="C26" s="126" t="s">
        <v>625</v>
      </c>
      <c r="D26" s="128" t="s">
        <v>560</v>
      </c>
      <c r="E26" s="119"/>
      <c r="F26" s="120"/>
      <c r="G26" s="121"/>
      <c r="H26" s="121"/>
      <c r="I26" s="197"/>
      <c r="J26" s="197"/>
      <c r="K26" s="123"/>
      <c r="L26" s="124">
        <f ca="1">K$128-'Bang CDPS'!F$105</f>
        <v>0</v>
      </c>
      <c r="M26" s="124">
        <f ca="1">K$128-'Bang CDPS'!G$105</f>
        <v>0</v>
      </c>
      <c r="N26" s="110"/>
      <c r="O26" s="111"/>
      <c r="P26" s="112"/>
      <c r="Q26" s="113"/>
      <c r="R26" s="113"/>
      <c r="S26" s="111"/>
      <c r="T26" s="114"/>
      <c r="U26" s="115"/>
      <c r="V26" s="115"/>
    </row>
    <row r="27" spans="1:22" ht="18.75" customHeight="1" x14ac:dyDescent="0.25">
      <c r="A27" s="116"/>
      <c r="B27" s="125"/>
      <c r="C27" s="126"/>
      <c r="D27" s="128"/>
      <c r="E27" s="119"/>
      <c r="F27" s="120"/>
      <c r="G27" s="121"/>
      <c r="H27" s="121"/>
      <c r="I27" s="197"/>
      <c r="J27" s="231"/>
      <c r="K27" s="130"/>
      <c r="L27" s="124">
        <f ca="1">K$128-'Bang CDPS'!F$105</f>
        <v>0</v>
      </c>
      <c r="M27" s="124">
        <f ca="1">K$128-'Bang CDPS'!G$105</f>
        <v>0</v>
      </c>
      <c r="N27" s="110"/>
      <c r="O27" s="111"/>
      <c r="P27" s="112"/>
      <c r="Q27" s="113"/>
      <c r="R27" s="113"/>
      <c r="S27" s="111"/>
      <c r="T27" s="114"/>
      <c r="U27" s="115"/>
      <c r="V27" s="115"/>
    </row>
    <row r="28" spans="1:22" ht="18.75" customHeight="1" x14ac:dyDescent="0.25">
      <c r="A28" s="116"/>
      <c r="B28" s="125" t="s">
        <v>636</v>
      </c>
      <c r="C28" s="126" t="s">
        <v>626</v>
      </c>
      <c r="D28" s="128" t="s">
        <v>484</v>
      </c>
      <c r="E28" s="119"/>
      <c r="F28" s="120"/>
      <c r="G28" s="121"/>
      <c r="H28" s="121"/>
      <c r="I28" s="197"/>
      <c r="J28" s="197"/>
      <c r="K28" s="131"/>
      <c r="L28" s="124">
        <f ca="1">K$128-'Bang CDPS'!F$105</f>
        <v>0</v>
      </c>
      <c r="M28" s="124">
        <f ca="1">K$128-'Bang CDPS'!G$105</f>
        <v>0</v>
      </c>
      <c r="N28" s="110"/>
      <c r="O28" s="111"/>
      <c r="P28" s="112"/>
      <c r="Q28" s="113"/>
      <c r="R28" s="113"/>
      <c r="S28" s="111"/>
      <c r="T28" s="114"/>
      <c r="U28" s="115"/>
      <c r="V28" s="115"/>
    </row>
    <row r="29" spans="1:22" ht="18.75" customHeight="1" x14ac:dyDescent="0.25">
      <c r="A29" s="116"/>
      <c r="B29" s="125"/>
      <c r="C29" s="126"/>
      <c r="D29" s="128"/>
      <c r="E29" s="119"/>
      <c r="F29" s="120"/>
      <c r="G29" s="121"/>
      <c r="H29" s="121"/>
      <c r="I29" s="197"/>
      <c r="J29" s="197"/>
      <c r="K29" s="133"/>
      <c r="L29" s="124">
        <f ca="1">K$128-'Bang CDPS'!F$105</f>
        <v>0</v>
      </c>
      <c r="M29" s="124">
        <f ca="1">K$128-'Bang CDPS'!G$105</f>
        <v>0</v>
      </c>
      <c r="N29" s="110"/>
      <c r="O29" s="111"/>
      <c r="P29" s="112"/>
      <c r="Q29" s="113"/>
      <c r="R29" s="113"/>
      <c r="S29" s="111"/>
      <c r="T29" s="114"/>
      <c r="U29" s="115"/>
      <c r="V29" s="115"/>
    </row>
    <row r="30" spans="1:22" ht="18.75" customHeight="1" x14ac:dyDescent="0.25">
      <c r="A30" s="116"/>
      <c r="B30" s="125" t="s">
        <v>567</v>
      </c>
      <c r="C30" s="126" t="s">
        <v>627</v>
      </c>
      <c r="D30" s="128" t="s">
        <v>561</v>
      </c>
      <c r="E30" s="119"/>
      <c r="F30" s="120"/>
      <c r="G30" s="121"/>
      <c r="H30" s="121"/>
      <c r="I30" s="197"/>
      <c r="J30" s="197"/>
      <c r="K30" s="123"/>
      <c r="L30" s="124">
        <f ca="1">K$128-'Bang CDPS'!F$105</f>
        <v>0</v>
      </c>
      <c r="M30" s="124">
        <f ca="1">K$128-'Bang CDPS'!G$105</f>
        <v>0</v>
      </c>
      <c r="N30" s="110"/>
      <c r="O30" s="111"/>
      <c r="P30" s="112"/>
      <c r="Q30" s="113"/>
      <c r="R30" s="113"/>
      <c r="S30" s="111"/>
      <c r="T30" s="114"/>
      <c r="U30" s="115"/>
      <c r="V30" s="115"/>
    </row>
    <row r="31" spans="1:22" ht="18.75" customHeight="1" x14ac:dyDescent="0.25">
      <c r="A31" s="116"/>
      <c r="B31" s="125"/>
      <c r="C31" s="126"/>
      <c r="D31" s="132"/>
      <c r="E31" s="119"/>
      <c r="F31" s="120"/>
      <c r="G31" s="121"/>
      <c r="H31" s="121"/>
      <c r="I31" s="197"/>
      <c r="J31" s="197"/>
      <c r="K31" s="133"/>
      <c r="L31" s="124">
        <f ca="1">K$128-'Bang CDPS'!F$105</f>
        <v>0</v>
      </c>
      <c r="M31" s="124">
        <f ca="1">K$128-'Bang CDPS'!G$105</f>
        <v>0</v>
      </c>
      <c r="N31" s="110"/>
      <c r="O31" s="111"/>
      <c r="P31" s="112"/>
      <c r="Q31" s="113"/>
      <c r="R31" s="113"/>
      <c r="S31" s="111"/>
      <c r="T31" s="114"/>
      <c r="U31" s="115"/>
      <c r="V31" s="115"/>
    </row>
    <row r="32" spans="1:22" ht="18.75" customHeight="1" x14ac:dyDescent="0.25">
      <c r="A32" s="116"/>
      <c r="B32" s="125" t="s">
        <v>568</v>
      </c>
      <c r="C32" s="126" t="s">
        <v>628</v>
      </c>
      <c r="D32" s="132" t="s">
        <v>550</v>
      </c>
      <c r="E32" s="119"/>
      <c r="F32" s="120"/>
      <c r="G32" s="121"/>
      <c r="H32" s="121"/>
      <c r="I32" s="197"/>
      <c r="J32" s="197"/>
      <c r="K32" s="123"/>
      <c r="L32" s="124">
        <f ca="1">K$128-'Bang CDPS'!F$105</f>
        <v>0</v>
      </c>
      <c r="M32" s="124">
        <f ca="1">K$128-'Bang CDPS'!G$105</f>
        <v>0</v>
      </c>
      <c r="N32" s="110"/>
      <c r="O32" s="111"/>
      <c r="P32" s="112"/>
      <c r="Q32" s="113"/>
      <c r="R32" s="113"/>
      <c r="S32" s="111"/>
      <c r="T32" s="114"/>
      <c r="U32" s="115"/>
      <c r="V32" s="115"/>
    </row>
    <row r="33" spans="1:22" ht="18.75" customHeight="1" x14ac:dyDescent="0.25">
      <c r="A33" s="116"/>
      <c r="B33" s="125"/>
      <c r="C33" s="126"/>
      <c r="D33" s="132"/>
      <c r="E33" s="119"/>
      <c r="F33" s="120"/>
      <c r="G33" s="121"/>
      <c r="H33" s="121"/>
      <c r="I33" s="197"/>
      <c r="J33" s="197"/>
      <c r="K33" s="123"/>
      <c r="L33" s="124">
        <f ca="1">K$128-'Bang CDPS'!F$105</f>
        <v>0</v>
      </c>
      <c r="M33" s="124">
        <f ca="1">K$128-'Bang CDPS'!G$105</f>
        <v>0</v>
      </c>
      <c r="N33" s="110"/>
      <c r="O33" s="111"/>
      <c r="P33" s="112"/>
      <c r="Q33" s="113"/>
      <c r="R33" s="113"/>
      <c r="S33" s="111"/>
      <c r="T33" s="114"/>
      <c r="U33" s="115"/>
      <c r="V33" s="115"/>
    </row>
    <row r="34" spans="1:22" ht="18.75" customHeight="1" x14ac:dyDescent="0.25">
      <c r="A34" s="116"/>
      <c r="B34" s="125" t="s">
        <v>547</v>
      </c>
      <c r="C34" s="126" t="s">
        <v>629</v>
      </c>
      <c r="D34" s="132" t="s">
        <v>548</v>
      </c>
      <c r="E34" s="119"/>
      <c r="F34" s="120"/>
      <c r="G34" s="121"/>
      <c r="H34" s="121"/>
      <c r="I34" s="391"/>
      <c r="J34" s="391"/>
      <c r="K34" s="123"/>
      <c r="L34" s="124">
        <f ca="1">K$128-'Bang CDPS'!F$105</f>
        <v>0</v>
      </c>
      <c r="M34" s="124">
        <f ca="1">K$128-'Bang CDPS'!G$105</f>
        <v>0</v>
      </c>
      <c r="N34" s="110"/>
      <c r="O34" s="111"/>
      <c r="P34" s="112"/>
      <c r="Q34" s="113"/>
      <c r="R34" s="113"/>
      <c r="S34" s="111"/>
      <c r="T34" s="114"/>
      <c r="U34" s="115"/>
      <c r="V34" s="115"/>
    </row>
    <row r="35" spans="1:22" ht="18.75" customHeight="1" x14ac:dyDescent="0.25">
      <c r="A35" s="116"/>
      <c r="B35" s="125" t="s">
        <v>547</v>
      </c>
      <c r="C35" s="126" t="s">
        <v>629</v>
      </c>
      <c r="D35" s="132" t="s">
        <v>549</v>
      </c>
      <c r="E35" s="119"/>
      <c r="F35" s="120"/>
      <c r="G35" s="121"/>
      <c r="H35" s="121"/>
      <c r="I35" s="391"/>
      <c r="J35" s="391"/>
      <c r="K35" s="133"/>
      <c r="L35" s="124">
        <f ca="1">K$128-'Bang CDPS'!F$105</f>
        <v>0</v>
      </c>
      <c r="M35" s="124">
        <f ca="1">K$128-'Bang CDPS'!G$105</f>
        <v>0</v>
      </c>
      <c r="N35" s="110"/>
      <c r="O35" s="111"/>
      <c r="P35" s="112"/>
      <c r="Q35" s="113"/>
      <c r="R35" s="113"/>
      <c r="S35" s="111"/>
      <c r="T35" s="114"/>
      <c r="U35" s="115"/>
      <c r="V35" s="115"/>
    </row>
    <row r="36" spans="1:22" ht="18.75" customHeight="1" x14ac:dyDescent="0.25">
      <c r="A36" s="116"/>
      <c r="B36" s="125"/>
      <c r="C36" s="126"/>
      <c r="D36" s="118"/>
      <c r="E36" s="119"/>
      <c r="F36" s="126"/>
      <c r="G36" s="129"/>
      <c r="H36" s="127"/>
      <c r="I36" s="231"/>
      <c r="J36" s="231"/>
      <c r="K36" s="123"/>
      <c r="L36" s="124">
        <f ca="1">K$128-'Bang CDPS'!F$105</f>
        <v>0</v>
      </c>
      <c r="M36" s="124">
        <f ca="1">K$128-'Bang CDPS'!G$105</f>
        <v>0</v>
      </c>
      <c r="N36" s="110"/>
      <c r="O36" s="111"/>
      <c r="P36" s="112"/>
      <c r="Q36" s="113"/>
      <c r="R36" s="113"/>
      <c r="S36" s="111"/>
      <c r="T36" s="114"/>
      <c r="U36" s="115"/>
      <c r="V36" s="115"/>
    </row>
    <row r="37" spans="1:22" ht="18.75" customHeight="1" x14ac:dyDescent="0.25">
      <c r="A37" s="116"/>
      <c r="B37" s="125" t="s">
        <v>341</v>
      </c>
      <c r="C37" s="126" t="s">
        <v>630</v>
      </c>
      <c r="D37" s="118" t="s">
        <v>554</v>
      </c>
      <c r="E37" s="134"/>
      <c r="F37" s="138"/>
      <c r="G37" s="139"/>
      <c r="H37" s="139"/>
      <c r="I37" s="197"/>
      <c r="J37" s="197"/>
      <c r="K37" s="140"/>
      <c r="L37" s="124">
        <f ca="1">K$128-'Bang CDPS'!F$105</f>
        <v>0</v>
      </c>
      <c r="M37" s="124">
        <f ca="1">K$128-'Bang CDPS'!G$105</f>
        <v>0</v>
      </c>
      <c r="N37" s="110"/>
      <c r="O37" s="111"/>
      <c r="P37" s="112"/>
      <c r="Q37" s="113"/>
      <c r="R37" s="113"/>
      <c r="S37" s="111"/>
      <c r="T37" s="114"/>
      <c r="U37" s="115"/>
      <c r="V37" s="115"/>
    </row>
    <row r="38" spans="1:22" ht="18.75" customHeight="1" x14ac:dyDescent="0.25">
      <c r="A38" s="116"/>
      <c r="B38" s="125" t="s">
        <v>341</v>
      </c>
      <c r="C38" s="126" t="s">
        <v>630</v>
      </c>
      <c r="D38" s="118" t="s">
        <v>553</v>
      </c>
      <c r="E38" s="134"/>
      <c r="F38" s="138"/>
      <c r="G38" s="139"/>
      <c r="H38" s="139"/>
      <c r="I38" s="197"/>
      <c r="J38" s="197"/>
      <c r="K38" s="140"/>
      <c r="L38" s="124">
        <f ca="1">K$128-'Bang CDPS'!F$105</f>
        <v>0</v>
      </c>
      <c r="M38" s="124">
        <f ca="1">K$128-'Bang CDPS'!G$105</f>
        <v>0</v>
      </c>
      <c r="N38" s="110"/>
      <c r="O38" s="111"/>
      <c r="P38" s="112"/>
      <c r="Q38" s="113"/>
      <c r="R38" s="113"/>
      <c r="S38" s="111"/>
      <c r="T38" s="114"/>
      <c r="U38" s="115"/>
      <c r="V38" s="115"/>
    </row>
    <row r="39" spans="1:22" ht="18.75" customHeight="1" x14ac:dyDescent="0.25">
      <c r="A39" s="116"/>
      <c r="B39" s="125" t="s">
        <v>341</v>
      </c>
      <c r="C39" s="126" t="s">
        <v>630</v>
      </c>
      <c r="D39" s="118" t="s">
        <v>563</v>
      </c>
      <c r="E39" s="119"/>
      <c r="F39" s="126"/>
      <c r="G39" s="127"/>
      <c r="H39" s="127"/>
      <c r="I39" s="197"/>
      <c r="J39" s="197"/>
      <c r="K39" s="140"/>
      <c r="L39" s="124">
        <f ca="1">K$128-'Bang CDPS'!F$105</f>
        <v>0</v>
      </c>
      <c r="M39" s="124">
        <f ca="1">K$128-'Bang CDPS'!G$105</f>
        <v>0</v>
      </c>
      <c r="N39" s="110"/>
      <c r="O39" s="111"/>
      <c r="P39" s="112"/>
      <c r="Q39" s="113"/>
      <c r="R39" s="113"/>
      <c r="S39" s="111"/>
      <c r="T39" s="114"/>
      <c r="U39" s="115"/>
      <c r="V39" s="115"/>
    </row>
    <row r="40" spans="1:22" ht="18.75" customHeight="1" x14ac:dyDescent="0.25">
      <c r="A40" s="116"/>
      <c r="B40" s="125" t="s">
        <v>341</v>
      </c>
      <c r="C40" s="126" t="s">
        <v>630</v>
      </c>
      <c r="D40" s="118" t="s">
        <v>555</v>
      </c>
      <c r="E40" s="134"/>
      <c r="F40" s="135"/>
      <c r="G40" s="127"/>
      <c r="H40" s="136"/>
      <c r="I40" s="197"/>
      <c r="J40" s="197"/>
      <c r="K40" s="140"/>
      <c r="L40" s="124">
        <f ca="1">K$128-'Bang CDPS'!F$105</f>
        <v>0</v>
      </c>
      <c r="M40" s="124">
        <f ca="1">K$128-'Bang CDPS'!G$105</f>
        <v>0</v>
      </c>
      <c r="N40" s="110"/>
      <c r="O40" s="111"/>
      <c r="P40" s="112"/>
      <c r="Q40" s="113"/>
      <c r="R40" s="113"/>
      <c r="S40" s="111"/>
      <c r="T40" s="114"/>
      <c r="U40" s="115"/>
      <c r="V40" s="115"/>
    </row>
    <row r="41" spans="1:22" ht="18.75" customHeight="1" x14ac:dyDescent="0.25">
      <c r="A41" s="116"/>
      <c r="B41" s="125" t="s">
        <v>341</v>
      </c>
      <c r="C41" s="126" t="s">
        <v>630</v>
      </c>
      <c r="D41" s="118" t="s">
        <v>556</v>
      </c>
      <c r="E41" s="134"/>
      <c r="F41" s="135"/>
      <c r="G41" s="127"/>
      <c r="H41" s="136"/>
      <c r="I41" s="197"/>
      <c r="J41" s="197"/>
      <c r="K41" s="140"/>
      <c r="L41" s="124">
        <f ca="1">K$128-'Bang CDPS'!F$105</f>
        <v>0</v>
      </c>
      <c r="M41" s="124">
        <f ca="1">K$128-'Bang CDPS'!G$105</f>
        <v>0</v>
      </c>
      <c r="N41" s="110"/>
      <c r="O41" s="111"/>
      <c r="P41" s="112"/>
      <c r="Q41" s="113"/>
      <c r="R41" s="113"/>
      <c r="S41" s="111"/>
      <c r="T41" s="114"/>
      <c r="U41" s="115"/>
      <c r="V41" s="115"/>
    </row>
    <row r="42" spans="1:22" ht="18.75" customHeight="1" x14ac:dyDescent="0.25">
      <c r="A42" s="116"/>
      <c r="B42" s="125"/>
      <c r="C42" s="126"/>
      <c r="D42" s="118"/>
      <c r="E42" s="134"/>
      <c r="F42" s="135"/>
      <c r="G42" s="136"/>
      <c r="H42" s="136"/>
      <c r="I42" s="197"/>
      <c r="J42" s="197"/>
      <c r="K42" s="140"/>
      <c r="L42" s="124">
        <f ca="1">K$128-'Bang CDPS'!F$105</f>
        <v>0</v>
      </c>
      <c r="M42" s="124">
        <f ca="1">K$128-'Bang CDPS'!G$105</f>
        <v>0</v>
      </c>
      <c r="N42" s="110"/>
      <c r="O42" s="111"/>
      <c r="P42" s="112"/>
      <c r="Q42" s="113"/>
      <c r="R42" s="113"/>
      <c r="S42" s="111"/>
      <c r="T42" s="114"/>
      <c r="U42" s="115"/>
      <c r="V42" s="115"/>
    </row>
    <row r="43" spans="1:22" ht="18.75" customHeight="1" x14ac:dyDescent="0.25">
      <c r="A43" s="116"/>
      <c r="B43" s="125" t="s">
        <v>486</v>
      </c>
      <c r="C43" s="126" t="s">
        <v>630</v>
      </c>
      <c r="D43" s="118" t="s">
        <v>609</v>
      </c>
      <c r="E43" s="134"/>
      <c r="F43" s="135"/>
      <c r="G43" s="136"/>
      <c r="H43" s="136"/>
      <c r="I43" s="197"/>
      <c r="J43" s="197"/>
      <c r="K43" s="140"/>
      <c r="L43" s="124">
        <f ca="1">K$128-'Bang CDPS'!F$105</f>
        <v>0</v>
      </c>
      <c r="M43" s="124">
        <f ca="1">K$128-'Bang CDPS'!G$105</f>
        <v>0</v>
      </c>
      <c r="N43" s="110"/>
      <c r="O43" s="111"/>
      <c r="P43" s="112"/>
      <c r="Q43" s="113"/>
      <c r="R43" s="113"/>
      <c r="S43" s="111"/>
      <c r="T43" s="114"/>
      <c r="U43" s="115"/>
      <c r="V43" s="115"/>
    </row>
    <row r="44" spans="1:22" ht="18.75" customHeight="1" x14ac:dyDescent="0.25">
      <c r="A44" s="116"/>
      <c r="B44" s="125"/>
      <c r="C44" s="126"/>
      <c r="D44" s="118"/>
      <c r="E44" s="134"/>
      <c r="F44" s="135"/>
      <c r="G44" s="136"/>
      <c r="H44" s="136"/>
      <c r="I44" s="197"/>
      <c r="J44" s="197"/>
      <c r="K44" s="140"/>
      <c r="L44" s="124">
        <f ca="1">K$128-'Bang CDPS'!F$105</f>
        <v>0</v>
      </c>
      <c r="M44" s="124">
        <f ca="1">K$128-'Bang CDPS'!G$105</f>
        <v>0</v>
      </c>
      <c r="N44" s="110"/>
      <c r="O44" s="111"/>
      <c r="P44" s="112"/>
      <c r="Q44" s="113"/>
      <c r="R44" s="113"/>
      <c r="S44" s="111"/>
      <c r="T44" s="114"/>
      <c r="U44" s="115"/>
      <c r="V44" s="115"/>
    </row>
    <row r="45" spans="1:22" ht="18.75" customHeight="1" x14ac:dyDescent="0.25">
      <c r="A45" s="116"/>
      <c r="B45" s="125" t="s">
        <v>487</v>
      </c>
      <c r="C45" s="126" t="s">
        <v>630</v>
      </c>
      <c r="D45" s="118" t="s">
        <v>558</v>
      </c>
      <c r="E45" s="134"/>
      <c r="F45" s="135"/>
      <c r="G45" s="136"/>
      <c r="H45" s="136"/>
      <c r="I45" s="197"/>
      <c r="J45" s="122"/>
      <c r="K45" s="140"/>
      <c r="L45" s="124">
        <f ca="1">K$128-'Bang CDPS'!F$105</f>
        <v>0</v>
      </c>
      <c r="M45" s="124">
        <f ca="1">K$128-'Bang CDPS'!G$105</f>
        <v>0</v>
      </c>
      <c r="N45" s="110"/>
      <c r="O45" s="111"/>
      <c r="P45" s="112"/>
      <c r="Q45" s="113"/>
      <c r="R45" s="113"/>
      <c r="S45" s="111"/>
      <c r="T45" s="114"/>
      <c r="U45" s="115"/>
      <c r="V45" s="115"/>
    </row>
    <row r="46" spans="1:22" ht="18.75" customHeight="1" x14ac:dyDescent="0.25">
      <c r="A46" s="116"/>
      <c r="B46" s="125" t="s">
        <v>487</v>
      </c>
      <c r="C46" s="126" t="s">
        <v>630</v>
      </c>
      <c r="D46" s="118" t="s">
        <v>559</v>
      </c>
      <c r="E46" s="134"/>
      <c r="F46" s="135"/>
      <c r="G46" s="136"/>
      <c r="H46" s="136"/>
      <c r="I46" s="197"/>
      <c r="J46" s="122"/>
      <c r="K46" s="140"/>
      <c r="L46" s="124">
        <f ca="1">K$128-'Bang CDPS'!F$105</f>
        <v>0</v>
      </c>
      <c r="M46" s="124">
        <f ca="1">K$128-'Bang CDPS'!G$105</f>
        <v>0</v>
      </c>
      <c r="N46" s="110"/>
      <c r="O46" s="111"/>
      <c r="P46" s="112"/>
      <c r="Q46" s="113"/>
      <c r="R46" s="113"/>
      <c r="S46" s="111"/>
      <c r="T46" s="114"/>
      <c r="U46" s="115"/>
      <c r="V46" s="115"/>
    </row>
    <row r="47" spans="1:22" ht="18.75" customHeight="1" x14ac:dyDescent="0.25">
      <c r="A47" s="116"/>
      <c r="B47" s="125" t="s">
        <v>487</v>
      </c>
      <c r="C47" s="126" t="s">
        <v>630</v>
      </c>
      <c r="D47" s="118" t="s">
        <v>571</v>
      </c>
      <c r="E47" s="134"/>
      <c r="F47" s="135"/>
      <c r="G47" s="136"/>
      <c r="H47" s="136"/>
      <c r="I47" s="197"/>
      <c r="J47" s="122"/>
      <c r="K47" s="140"/>
      <c r="L47" s="124">
        <f ca="1">K$128-'Bang CDPS'!F$105</f>
        <v>0</v>
      </c>
      <c r="M47" s="124">
        <f ca="1">K$128-'Bang CDPS'!G$105</f>
        <v>0</v>
      </c>
      <c r="N47" s="110"/>
      <c r="O47" s="111"/>
      <c r="P47" s="112"/>
      <c r="Q47" s="113"/>
      <c r="R47" s="113"/>
      <c r="S47" s="111"/>
      <c r="T47" s="114"/>
      <c r="U47" s="115"/>
      <c r="V47" s="115"/>
    </row>
    <row r="48" spans="1:22" ht="18.75" customHeight="1" x14ac:dyDescent="0.25">
      <c r="A48" s="116"/>
      <c r="B48" s="125" t="s">
        <v>487</v>
      </c>
      <c r="C48" s="126" t="s">
        <v>630</v>
      </c>
      <c r="D48" s="118" t="s">
        <v>572</v>
      </c>
      <c r="E48" s="134"/>
      <c r="F48" s="135"/>
      <c r="G48" s="136"/>
      <c r="H48" s="136"/>
      <c r="I48" s="197"/>
      <c r="J48" s="122"/>
      <c r="K48" s="140"/>
      <c r="L48" s="124">
        <f ca="1">K$128-'Bang CDPS'!F$105</f>
        <v>0</v>
      </c>
      <c r="M48" s="124">
        <f ca="1">K$128-'Bang CDPS'!G$105</f>
        <v>0</v>
      </c>
      <c r="N48" s="110"/>
      <c r="O48" s="111"/>
      <c r="P48" s="112"/>
      <c r="Q48" s="113"/>
      <c r="R48" s="113"/>
      <c r="S48" s="111"/>
      <c r="T48" s="114"/>
      <c r="U48" s="115"/>
      <c r="V48" s="115"/>
    </row>
    <row r="49" spans="1:22" ht="18.75" customHeight="1" x14ac:dyDescent="0.25">
      <c r="A49" s="116"/>
      <c r="B49" s="125" t="s">
        <v>487</v>
      </c>
      <c r="C49" s="126" t="s">
        <v>630</v>
      </c>
      <c r="D49" s="118" t="s">
        <v>573</v>
      </c>
      <c r="E49" s="134"/>
      <c r="F49" s="135"/>
      <c r="G49" s="136"/>
      <c r="H49" s="136"/>
      <c r="I49" s="197"/>
      <c r="J49" s="122"/>
      <c r="K49" s="140"/>
      <c r="L49" s="124">
        <f ca="1">K$128-'Bang CDPS'!F$105</f>
        <v>0</v>
      </c>
      <c r="M49" s="124">
        <f ca="1">K$128-'Bang CDPS'!G$105</f>
        <v>0</v>
      </c>
      <c r="N49" s="110"/>
      <c r="O49" s="111"/>
      <c r="P49" s="112"/>
      <c r="Q49" s="113"/>
      <c r="R49" s="113"/>
      <c r="S49" s="111"/>
      <c r="T49" s="114"/>
      <c r="U49" s="115"/>
      <c r="V49" s="115"/>
    </row>
    <row r="50" spans="1:22" ht="18.75" customHeight="1" x14ac:dyDescent="0.25">
      <c r="A50" s="116"/>
      <c r="B50" s="125"/>
      <c r="C50" s="126"/>
      <c r="D50" s="118"/>
      <c r="E50" s="134"/>
      <c r="F50" s="135"/>
      <c r="G50" s="136"/>
      <c r="H50" s="136"/>
      <c r="I50" s="197"/>
      <c r="J50" s="197"/>
      <c r="K50" s="140"/>
      <c r="L50" s="124">
        <f ca="1">K$128-'Bang CDPS'!F$105</f>
        <v>0</v>
      </c>
      <c r="M50" s="124">
        <f ca="1">K$128-'Bang CDPS'!G$105</f>
        <v>0</v>
      </c>
      <c r="N50" s="110"/>
      <c r="O50" s="111"/>
      <c r="P50" s="112"/>
      <c r="Q50" s="113"/>
      <c r="R50" s="113"/>
      <c r="S50" s="111"/>
      <c r="T50" s="114"/>
      <c r="U50" s="115"/>
      <c r="V50" s="115"/>
    </row>
    <row r="51" spans="1:22" ht="18.75" customHeight="1" x14ac:dyDescent="0.25">
      <c r="A51" s="116"/>
      <c r="B51" s="117" t="s">
        <v>610</v>
      </c>
      <c r="C51" s="126" t="s">
        <v>630</v>
      </c>
      <c r="D51" s="118" t="s">
        <v>564</v>
      </c>
      <c r="E51" s="134"/>
      <c r="F51" s="135"/>
      <c r="G51" s="136"/>
      <c r="H51" s="136"/>
      <c r="I51" s="197"/>
      <c r="J51" s="197"/>
      <c r="K51" s="140"/>
      <c r="L51" s="124">
        <f ca="1">K$128-'Bang CDPS'!F$105</f>
        <v>0</v>
      </c>
      <c r="M51" s="124">
        <f ca="1">K$128-'Bang CDPS'!G$105</f>
        <v>0</v>
      </c>
      <c r="N51" s="110"/>
      <c r="O51" s="111"/>
      <c r="P51" s="112"/>
      <c r="Q51" s="113"/>
      <c r="R51" s="113"/>
      <c r="S51" s="111"/>
      <c r="T51" s="114"/>
      <c r="U51" s="115"/>
      <c r="V51" s="115"/>
    </row>
    <row r="52" spans="1:22" ht="18.75" customHeight="1" x14ac:dyDescent="0.25">
      <c r="A52" s="116"/>
      <c r="B52" s="117" t="s">
        <v>610</v>
      </c>
      <c r="C52" s="126" t="s">
        <v>630</v>
      </c>
      <c r="D52" s="118" t="s">
        <v>493</v>
      </c>
      <c r="E52" s="134"/>
      <c r="F52" s="135"/>
      <c r="G52" s="136"/>
      <c r="H52" s="136"/>
      <c r="I52" s="197"/>
      <c r="J52" s="197"/>
      <c r="K52" s="140"/>
      <c r="L52" s="124">
        <f ca="1">K$128-'Bang CDPS'!F$105</f>
        <v>0</v>
      </c>
      <c r="M52" s="124">
        <f ca="1">K$128-'Bang CDPS'!G$105</f>
        <v>0</v>
      </c>
      <c r="N52" s="110"/>
      <c r="O52" s="111"/>
      <c r="P52" s="112"/>
      <c r="Q52" s="113"/>
      <c r="R52" s="113"/>
      <c r="S52" s="111"/>
      <c r="T52" s="114"/>
      <c r="U52" s="115"/>
      <c r="V52" s="115"/>
    </row>
    <row r="53" spans="1:22" ht="18.75" customHeight="1" x14ac:dyDescent="0.25">
      <c r="A53" s="116"/>
      <c r="B53" s="117" t="s">
        <v>610</v>
      </c>
      <c r="C53" s="126" t="s">
        <v>630</v>
      </c>
      <c r="D53" s="118" t="s">
        <v>488</v>
      </c>
      <c r="E53" s="134"/>
      <c r="F53" s="135"/>
      <c r="G53" s="136"/>
      <c r="H53" s="136"/>
      <c r="I53" s="197"/>
      <c r="J53" s="197"/>
      <c r="K53" s="140"/>
      <c r="L53" s="124">
        <f ca="1">K$128-'Bang CDPS'!F$105</f>
        <v>0</v>
      </c>
      <c r="M53" s="124">
        <f ca="1">K$128-'Bang CDPS'!G$105</f>
        <v>0</v>
      </c>
      <c r="N53" s="110"/>
      <c r="O53" s="111"/>
      <c r="P53" s="112"/>
      <c r="Q53" s="113"/>
      <c r="R53" s="113"/>
      <c r="S53" s="111"/>
      <c r="T53" s="114"/>
      <c r="U53" s="115"/>
      <c r="V53" s="115"/>
    </row>
    <row r="54" spans="1:22" ht="18.75" customHeight="1" x14ac:dyDescent="0.25">
      <c r="A54" s="116"/>
      <c r="B54" s="125"/>
      <c r="C54" s="126"/>
      <c r="D54" s="118"/>
      <c r="E54" s="134"/>
      <c r="F54" s="135"/>
      <c r="G54" s="136"/>
      <c r="H54" s="136"/>
      <c r="I54" s="197"/>
      <c r="J54" s="197"/>
      <c r="K54" s="140"/>
      <c r="L54" s="124">
        <f ca="1">K$128-'Bang CDPS'!F$105</f>
        <v>0</v>
      </c>
      <c r="M54" s="124">
        <f ca="1">K$128-'Bang CDPS'!G$105</f>
        <v>0</v>
      </c>
      <c r="N54" s="110"/>
      <c r="O54" s="111"/>
      <c r="P54" s="112"/>
      <c r="Q54" s="113"/>
      <c r="R54" s="113"/>
      <c r="S54" s="111"/>
      <c r="T54" s="114"/>
      <c r="U54" s="115"/>
      <c r="V54" s="115"/>
    </row>
    <row r="55" spans="1:22" ht="18.75" customHeight="1" x14ac:dyDescent="0.25">
      <c r="A55" s="116"/>
      <c r="B55" s="125" t="s">
        <v>504</v>
      </c>
      <c r="C55" s="126" t="s">
        <v>630</v>
      </c>
      <c r="D55" s="118" t="s">
        <v>562</v>
      </c>
      <c r="E55" s="134"/>
      <c r="F55" s="135"/>
      <c r="G55" s="136"/>
      <c r="H55" s="136"/>
      <c r="I55" s="197"/>
      <c r="J55" s="197"/>
      <c r="K55" s="140"/>
      <c r="L55" s="124">
        <f ca="1">K$128-'Bang CDPS'!F$105</f>
        <v>0</v>
      </c>
      <c r="M55" s="124">
        <f ca="1">K$128-'Bang CDPS'!G$105</f>
        <v>0</v>
      </c>
      <c r="N55" s="110"/>
      <c r="O55" s="111"/>
      <c r="P55" s="112"/>
      <c r="Q55" s="113"/>
      <c r="R55" s="113"/>
      <c r="S55" s="111"/>
      <c r="T55" s="114"/>
      <c r="U55" s="115"/>
      <c r="V55" s="115"/>
    </row>
    <row r="56" spans="1:22" ht="18.75" customHeight="1" x14ac:dyDescent="0.25">
      <c r="A56" s="116"/>
      <c r="B56" s="125"/>
      <c r="C56" s="126"/>
      <c r="D56" s="118"/>
      <c r="E56" s="134"/>
      <c r="F56" s="135"/>
      <c r="G56" s="136"/>
      <c r="H56" s="136"/>
      <c r="I56" s="197"/>
      <c r="J56" s="197"/>
      <c r="K56" s="140"/>
      <c r="L56" s="124">
        <f ca="1">K$128-'Bang CDPS'!F$105</f>
        <v>0</v>
      </c>
      <c r="M56" s="124">
        <f ca="1">K$128-'Bang CDPS'!G$105</f>
        <v>0</v>
      </c>
      <c r="N56" s="110"/>
      <c r="O56" s="111"/>
      <c r="P56" s="112"/>
      <c r="Q56" s="113"/>
      <c r="R56" s="113"/>
      <c r="S56" s="111"/>
      <c r="T56" s="114"/>
      <c r="U56" s="115"/>
      <c r="V56" s="115"/>
    </row>
    <row r="57" spans="1:22" ht="18.75" customHeight="1" x14ac:dyDescent="0.25">
      <c r="A57" s="116"/>
      <c r="B57" s="117" t="s">
        <v>611</v>
      </c>
      <c r="C57" s="126" t="s">
        <v>630</v>
      </c>
      <c r="D57" s="118" t="s">
        <v>565</v>
      </c>
      <c r="E57" s="134"/>
      <c r="F57" s="135"/>
      <c r="G57" s="136"/>
      <c r="H57" s="136"/>
      <c r="I57" s="197"/>
      <c r="J57" s="197"/>
      <c r="K57" s="137"/>
      <c r="L57" s="124">
        <f ca="1">K$128-'Bang CDPS'!F$105</f>
        <v>0</v>
      </c>
      <c r="M57" s="124">
        <f ca="1">K$128-'Bang CDPS'!G$105</f>
        <v>0</v>
      </c>
      <c r="N57" s="110"/>
      <c r="O57" s="111"/>
      <c r="P57" s="112"/>
      <c r="Q57" s="113"/>
      <c r="R57" s="113"/>
      <c r="S57" s="111"/>
      <c r="T57" s="114"/>
      <c r="U57" s="115"/>
      <c r="V57" s="115"/>
    </row>
    <row r="58" spans="1:22" ht="18.75" customHeight="1" x14ac:dyDescent="0.25">
      <c r="A58" s="116"/>
      <c r="B58" s="117" t="s">
        <v>611</v>
      </c>
      <c r="C58" s="126" t="s">
        <v>630</v>
      </c>
      <c r="D58" s="118" t="s">
        <v>494</v>
      </c>
      <c r="E58" s="134"/>
      <c r="F58" s="135"/>
      <c r="G58" s="136"/>
      <c r="H58" s="136"/>
      <c r="I58" s="197"/>
      <c r="J58" s="197"/>
      <c r="K58" s="137"/>
      <c r="L58" s="124">
        <f ca="1">K$128-'Bang CDPS'!F$105</f>
        <v>0</v>
      </c>
      <c r="M58" s="124">
        <f ca="1">K$128-'Bang CDPS'!G$105</f>
        <v>0</v>
      </c>
      <c r="N58" s="110"/>
      <c r="O58" s="111"/>
      <c r="P58" s="112"/>
      <c r="Q58" s="113"/>
      <c r="R58" s="113"/>
      <c r="S58" s="111"/>
      <c r="T58" s="114"/>
      <c r="U58" s="115"/>
      <c r="V58" s="115"/>
    </row>
    <row r="59" spans="1:22" ht="18.75" customHeight="1" x14ac:dyDescent="0.25">
      <c r="A59" s="116"/>
      <c r="B59" s="117" t="s">
        <v>611</v>
      </c>
      <c r="C59" s="126" t="s">
        <v>630</v>
      </c>
      <c r="D59" s="118" t="s">
        <v>485</v>
      </c>
      <c r="E59" s="119"/>
      <c r="F59" s="126"/>
      <c r="G59" s="129"/>
      <c r="H59" s="127"/>
      <c r="I59" s="197"/>
      <c r="J59" s="197"/>
      <c r="K59" s="123"/>
      <c r="L59" s="124">
        <f ca="1">K$128-'Bang CDPS'!F$105</f>
        <v>0</v>
      </c>
      <c r="M59" s="124">
        <f ca="1">K$128-'Bang CDPS'!G$105</f>
        <v>0</v>
      </c>
      <c r="N59" s="110"/>
      <c r="O59" s="111"/>
      <c r="P59" s="112"/>
      <c r="Q59" s="113"/>
      <c r="R59" s="113"/>
      <c r="S59" s="111"/>
      <c r="T59" s="114"/>
      <c r="U59" s="115"/>
      <c r="V59" s="115"/>
    </row>
    <row r="60" spans="1:22" ht="18.75" customHeight="1" x14ac:dyDescent="0.25">
      <c r="A60" s="116"/>
      <c r="B60" s="125"/>
      <c r="C60" s="116"/>
      <c r="D60" s="128"/>
      <c r="E60" s="134"/>
      <c r="F60" s="138"/>
      <c r="G60" s="139"/>
      <c r="H60" s="139"/>
      <c r="I60" s="231"/>
      <c r="J60" s="231"/>
      <c r="K60" s="140"/>
      <c r="L60" s="124">
        <f ca="1">K$128-'Bang CDPS'!F$105</f>
        <v>0</v>
      </c>
      <c r="M60" s="124">
        <f ca="1">K$128-'Bang CDPS'!G$105</f>
        <v>0</v>
      </c>
      <c r="N60" s="110"/>
      <c r="O60" s="111"/>
      <c r="P60" s="112"/>
      <c r="Q60" s="113"/>
      <c r="R60" s="113"/>
      <c r="S60" s="111"/>
      <c r="T60" s="114"/>
      <c r="U60" s="115"/>
      <c r="V60" s="115"/>
    </row>
    <row r="61" spans="1:22" ht="18.75" customHeight="1" x14ac:dyDescent="0.25">
      <c r="A61" s="116"/>
      <c r="B61" s="125" t="s">
        <v>638</v>
      </c>
      <c r="C61" s="126" t="s">
        <v>630</v>
      </c>
      <c r="D61" s="128" t="s">
        <v>513</v>
      </c>
      <c r="E61" s="134"/>
      <c r="F61" s="138"/>
      <c r="G61" s="139"/>
      <c r="H61" s="139"/>
      <c r="I61" s="197"/>
      <c r="J61" s="231"/>
      <c r="K61" s="140"/>
      <c r="L61" s="124">
        <f ca="1">K$128-'Bang CDPS'!F$105</f>
        <v>0</v>
      </c>
      <c r="M61" s="124">
        <f ca="1">K$128-'Bang CDPS'!G$105</f>
        <v>0</v>
      </c>
      <c r="N61" s="110"/>
      <c r="O61" s="111"/>
      <c r="P61" s="112"/>
      <c r="Q61" s="113"/>
      <c r="R61" s="113"/>
      <c r="S61" s="111"/>
      <c r="T61" s="114"/>
      <c r="U61" s="115"/>
      <c r="V61" s="115"/>
    </row>
    <row r="62" spans="1:22" ht="18.75" customHeight="1" x14ac:dyDescent="0.25">
      <c r="A62" s="116"/>
      <c r="B62" s="125"/>
      <c r="C62" s="116"/>
      <c r="D62" s="128"/>
      <c r="E62" s="134"/>
      <c r="F62" s="138"/>
      <c r="G62" s="139"/>
      <c r="H62" s="139"/>
      <c r="I62" s="231"/>
      <c r="J62" s="231"/>
      <c r="K62" s="140"/>
      <c r="L62" s="124">
        <f ca="1">K$128-'Bang CDPS'!F$105</f>
        <v>0</v>
      </c>
      <c r="M62" s="124">
        <f ca="1">K$128-'Bang CDPS'!G$105</f>
        <v>0</v>
      </c>
      <c r="N62" s="110"/>
      <c r="O62" s="111"/>
      <c r="P62" s="112"/>
      <c r="Q62" s="113"/>
      <c r="R62" s="113"/>
      <c r="S62" s="111"/>
      <c r="T62" s="114"/>
      <c r="U62" s="115"/>
      <c r="V62" s="115"/>
    </row>
    <row r="63" spans="1:22" ht="18.75" customHeight="1" x14ac:dyDescent="0.25">
      <c r="A63" s="116"/>
      <c r="B63" s="125" t="s">
        <v>336</v>
      </c>
      <c r="C63" s="126" t="s">
        <v>630</v>
      </c>
      <c r="D63" s="128" t="s">
        <v>495</v>
      </c>
      <c r="E63" s="119"/>
      <c r="F63" s="120"/>
      <c r="G63" s="121"/>
      <c r="H63" s="121"/>
      <c r="I63" s="197"/>
      <c r="J63" s="197"/>
      <c r="K63" s="133"/>
      <c r="L63" s="124">
        <f ca="1">K$128-'Bang CDPS'!F$105</f>
        <v>0</v>
      </c>
      <c r="M63" s="124">
        <f ca="1">K$128-'Bang CDPS'!G$105</f>
        <v>0</v>
      </c>
      <c r="N63" s="110"/>
      <c r="O63" s="111"/>
      <c r="P63" s="112"/>
      <c r="Q63" s="113"/>
      <c r="R63" s="113"/>
      <c r="S63" s="111"/>
      <c r="T63" s="114"/>
      <c r="U63" s="115"/>
      <c r="V63" s="115"/>
    </row>
    <row r="64" spans="1:22" ht="18.75" customHeight="1" x14ac:dyDescent="0.25">
      <c r="A64" s="116"/>
      <c r="B64" s="125" t="s">
        <v>336</v>
      </c>
      <c r="C64" s="126" t="s">
        <v>630</v>
      </c>
      <c r="D64" s="128" t="s">
        <v>496</v>
      </c>
      <c r="E64" s="119"/>
      <c r="F64" s="120"/>
      <c r="G64" s="121"/>
      <c r="H64" s="121"/>
      <c r="I64" s="197"/>
      <c r="J64" s="197"/>
      <c r="K64" s="133"/>
      <c r="L64" s="124">
        <f ca="1">K$128-'Bang CDPS'!F$105</f>
        <v>0</v>
      </c>
      <c r="M64" s="124">
        <f ca="1">K$128-'Bang CDPS'!G$105</f>
        <v>0</v>
      </c>
      <c r="N64" s="110"/>
      <c r="O64" s="111"/>
      <c r="P64" s="112"/>
      <c r="Q64" s="113"/>
      <c r="R64" s="113"/>
      <c r="S64" s="111"/>
      <c r="T64" s="114"/>
      <c r="U64" s="115"/>
      <c r="V64" s="115"/>
    </row>
    <row r="65" spans="1:22" ht="18.75" customHeight="1" x14ac:dyDescent="0.25">
      <c r="A65" s="116"/>
      <c r="B65" s="125" t="s">
        <v>336</v>
      </c>
      <c r="C65" s="126" t="s">
        <v>630</v>
      </c>
      <c r="D65" s="128" t="s">
        <v>497</v>
      </c>
      <c r="E65" s="119"/>
      <c r="F65" s="120"/>
      <c r="G65" s="121"/>
      <c r="H65" s="121"/>
      <c r="I65" s="197"/>
      <c r="J65" s="197"/>
      <c r="K65" s="133"/>
      <c r="L65" s="124">
        <f ca="1">K$128-'Bang CDPS'!F$105</f>
        <v>0</v>
      </c>
      <c r="M65" s="124">
        <f ca="1">K$128-'Bang CDPS'!G$105</f>
        <v>0</v>
      </c>
      <c r="N65" s="110"/>
      <c r="O65" s="111"/>
      <c r="P65" s="112"/>
      <c r="Q65" s="113"/>
      <c r="R65" s="113"/>
      <c r="S65" s="111"/>
      <c r="T65" s="114"/>
      <c r="U65" s="115"/>
      <c r="V65" s="115"/>
    </row>
    <row r="66" spans="1:22" ht="18.75" customHeight="1" x14ac:dyDescent="0.25">
      <c r="A66" s="116"/>
      <c r="B66" s="125"/>
      <c r="C66" s="116"/>
      <c r="D66" s="128"/>
      <c r="E66" s="119"/>
      <c r="F66" s="120"/>
      <c r="G66" s="121"/>
      <c r="H66" s="121"/>
      <c r="I66" s="197"/>
      <c r="J66" s="197"/>
      <c r="K66" s="133"/>
      <c r="L66" s="124">
        <f ca="1">K$128-'Bang CDPS'!F$105</f>
        <v>0</v>
      </c>
      <c r="M66" s="124">
        <f ca="1">K$128-'Bang CDPS'!G$105</f>
        <v>0</v>
      </c>
      <c r="N66" s="110"/>
      <c r="O66" s="111"/>
      <c r="P66" s="112"/>
      <c r="Q66" s="113"/>
      <c r="R66" s="113"/>
      <c r="S66" s="111"/>
      <c r="T66" s="114"/>
      <c r="U66" s="115"/>
      <c r="V66" s="115"/>
    </row>
    <row r="67" spans="1:22" ht="18.75" customHeight="1" x14ac:dyDescent="0.25">
      <c r="A67" s="116"/>
      <c r="B67" s="125" t="s">
        <v>432</v>
      </c>
      <c r="C67" s="126" t="s">
        <v>630</v>
      </c>
      <c r="D67" s="128" t="s">
        <v>584</v>
      </c>
      <c r="E67" s="119"/>
      <c r="F67" s="120"/>
      <c r="G67" s="121"/>
      <c r="H67" s="121"/>
      <c r="I67" s="197"/>
      <c r="J67" s="197"/>
      <c r="K67" s="133"/>
      <c r="L67" s="124">
        <f ca="1">K$128-'Bang CDPS'!F$105</f>
        <v>0</v>
      </c>
      <c r="M67" s="124">
        <f ca="1">K$128-'Bang CDPS'!G$105</f>
        <v>0</v>
      </c>
      <c r="N67" s="110"/>
      <c r="O67" s="111"/>
      <c r="P67" s="112"/>
      <c r="Q67" s="113"/>
      <c r="R67" s="113"/>
      <c r="S67" s="111"/>
      <c r="T67" s="114"/>
      <c r="U67" s="115"/>
      <c r="V67" s="115"/>
    </row>
    <row r="68" spans="1:22" ht="18.75" customHeight="1" x14ac:dyDescent="0.25">
      <c r="A68" s="116"/>
      <c r="B68" s="125" t="s">
        <v>432</v>
      </c>
      <c r="C68" s="126" t="s">
        <v>630</v>
      </c>
      <c r="D68" s="128" t="s">
        <v>585</v>
      </c>
      <c r="E68" s="119"/>
      <c r="F68" s="120"/>
      <c r="G68" s="121"/>
      <c r="H68" s="121"/>
      <c r="I68" s="197"/>
      <c r="J68" s="197"/>
      <c r="K68" s="133"/>
      <c r="L68" s="124">
        <f ca="1">K$128-'Bang CDPS'!F$105</f>
        <v>0</v>
      </c>
      <c r="M68" s="124">
        <f ca="1">K$128-'Bang CDPS'!G$105</f>
        <v>0</v>
      </c>
      <c r="N68" s="110"/>
      <c r="O68" s="111"/>
      <c r="P68" s="112"/>
      <c r="Q68" s="113"/>
      <c r="R68" s="113"/>
      <c r="S68" s="111"/>
      <c r="T68" s="114"/>
      <c r="U68" s="115"/>
      <c r="V68" s="115"/>
    </row>
    <row r="69" spans="1:22" ht="18.75" customHeight="1" x14ac:dyDescent="0.25">
      <c r="A69" s="116"/>
      <c r="B69" s="125" t="s">
        <v>432</v>
      </c>
      <c r="C69" s="126" t="s">
        <v>630</v>
      </c>
      <c r="D69" s="128" t="s">
        <v>586</v>
      </c>
      <c r="E69" s="119"/>
      <c r="F69" s="120"/>
      <c r="G69" s="121"/>
      <c r="H69" s="121"/>
      <c r="I69" s="197"/>
      <c r="J69" s="197"/>
      <c r="K69" s="133"/>
      <c r="L69" s="124">
        <f ca="1">K$128-'Bang CDPS'!F$105</f>
        <v>0</v>
      </c>
      <c r="M69" s="124">
        <f ca="1">K$128-'Bang CDPS'!G$105</f>
        <v>0</v>
      </c>
      <c r="N69" s="110"/>
      <c r="O69" s="111"/>
      <c r="P69" s="112"/>
      <c r="Q69" s="113"/>
      <c r="R69" s="113"/>
      <c r="S69" s="111"/>
      <c r="T69" s="114"/>
      <c r="U69" s="115"/>
      <c r="V69" s="115"/>
    </row>
    <row r="70" spans="1:22" ht="18.75" customHeight="1" x14ac:dyDescent="0.25">
      <c r="A70" s="116"/>
      <c r="B70" s="125"/>
      <c r="C70" s="126"/>
      <c r="D70" s="128"/>
      <c r="E70" s="119"/>
      <c r="F70" s="120"/>
      <c r="G70" s="121"/>
      <c r="H70" s="121"/>
      <c r="I70" s="232"/>
      <c r="J70" s="231"/>
      <c r="K70" s="133"/>
      <c r="L70" s="124">
        <f ca="1">K$128-'Bang CDPS'!F$105</f>
        <v>0</v>
      </c>
      <c r="M70" s="124">
        <f ca="1">K$128-'Bang CDPS'!G$105</f>
        <v>0</v>
      </c>
      <c r="N70" s="110"/>
      <c r="O70" s="111"/>
      <c r="P70" s="112"/>
      <c r="Q70" s="113"/>
      <c r="R70" s="113"/>
      <c r="S70" s="111"/>
      <c r="T70" s="114"/>
      <c r="U70" s="115"/>
      <c r="V70" s="115"/>
    </row>
    <row r="71" spans="1:22" ht="18.75" customHeight="1" x14ac:dyDescent="0.25">
      <c r="A71" s="116"/>
      <c r="B71" s="125" t="s">
        <v>432</v>
      </c>
      <c r="C71" s="126" t="s">
        <v>630</v>
      </c>
      <c r="D71" s="128" t="s">
        <v>587</v>
      </c>
      <c r="E71" s="119"/>
      <c r="F71" s="126"/>
      <c r="G71" s="127"/>
      <c r="H71" s="127"/>
      <c r="I71" s="197"/>
      <c r="J71" s="197"/>
      <c r="K71" s="133"/>
      <c r="L71" s="124">
        <f ca="1">K$128-'Bang CDPS'!F$105</f>
        <v>0</v>
      </c>
      <c r="M71" s="124">
        <f ca="1">K$128-'Bang CDPS'!G$105</f>
        <v>0</v>
      </c>
      <c r="N71" s="110"/>
      <c r="O71" s="111"/>
      <c r="P71" s="112"/>
      <c r="Q71" s="113"/>
      <c r="R71" s="113"/>
      <c r="S71" s="111"/>
      <c r="T71" s="114"/>
      <c r="U71" s="115"/>
      <c r="V71" s="115"/>
    </row>
    <row r="72" spans="1:22" ht="18.75" customHeight="1" x14ac:dyDescent="0.25">
      <c r="A72" s="116"/>
      <c r="B72" s="125" t="s">
        <v>432</v>
      </c>
      <c r="C72" s="126" t="s">
        <v>630</v>
      </c>
      <c r="D72" s="128" t="s">
        <v>588</v>
      </c>
      <c r="E72" s="119"/>
      <c r="F72" s="120"/>
      <c r="G72" s="121"/>
      <c r="H72" s="121"/>
      <c r="I72" s="197"/>
      <c r="J72" s="197"/>
      <c r="K72" s="133"/>
      <c r="L72" s="124">
        <f ca="1">K$128-'Bang CDPS'!F$105</f>
        <v>0</v>
      </c>
      <c r="M72" s="124">
        <f ca="1">K$128-'Bang CDPS'!G$105</f>
        <v>0</v>
      </c>
      <c r="N72" s="110"/>
      <c r="O72" s="111"/>
      <c r="P72" s="112"/>
      <c r="Q72" s="113"/>
      <c r="R72" s="113"/>
      <c r="S72" s="111"/>
      <c r="T72" s="114"/>
      <c r="U72" s="115"/>
      <c r="V72" s="115"/>
    </row>
    <row r="73" spans="1:22" ht="18.75" customHeight="1" x14ac:dyDescent="0.25">
      <c r="A73" s="116"/>
      <c r="B73" s="125" t="s">
        <v>432</v>
      </c>
      <c r="C73" s="126" t="s">
        <v>630</v>
      </c>
      <c r="D73" s="128" t="s">
        <v>589</v>
      </c>
      <c r="E73" s="119"/>
      <c r="F73" s="126"/>
      <c r="G73" s="127"/>
      <c r="H73" s="127"/>
      <c r="I73" s="197"/>
      <c r="J73" s="197"/>
      <c r="K73" s="133"/>
      <c r="L73" s="124">
        <f ca="1">K$128-'Bang CDPS'!F$105</f>
        <v>0</v>
      </c>
      <c r="M73" s="124">
        <f ca="1">K$128-'Bang CDPS'!G$105</f>
        <v>0</v>
      </c>
      <c r="N73" s="110"/>
      <c r="O73" s="111"/>
      <c r="P73" s="112"/>
      <c r="Q73" s="113"/>
      <c r="R73" s="113"/>
      <c r="S73" s="111"/>
      <c r="T73" s="114"/>
      <c r="U73" s="115"/>
      <c r="V73" s="115"/>
    </row>
    <row r="74" spans="1:22" ht="18.75" customHeight="1" x14ac:dyDescent="0.25">
      <c r="A74" s="116"/>
      <c r="B74" s="125"/>
      <c r="C74" s="116"/>
      <c r="D74" s="128"/>
      <c r="E74" s="134"/>
      <c r="F74" s="135"/>
      <c r="G74" s="136"/>
      <c r="H74" s="136"/>
      <c r="I74" s="197"/>
      <c r="J74" s="201"/>
      <c r="K74" s="133"/>
      <c r="L74" s="124">
        <f ca="1">K$128-'Bang CDPS'!F$105</f>
        <v>0</v>
      </c>
      <c r="M74" s="124">
        <f ca="1">K$128-'Bang CDPS'!G$105</f>
        <v>0</v>
      </c>
      <c r="N74" s="110"/>
      <c r="O74" s="111"/>
      <c r="P74" s="112"/>
      <c r="Q74" s="113"/>
      <c r="R74" s="113"/>
      <c r="S74" s="111"/>
      <c r="T74" s="114"/>
      <c r="U74" s="115"/>
      <c r="V74" s="115"/>
    </row>
    <row r="75" spans="1:22" ht="18.75" customHeight="1" x14ac:dyDescent="0.25">
      <c r="A75" s="116"/>
      <c r="B75" s="125" t="s">
        <v>432</v>
      </c>
      <c r="C75" s="126" t="s">
        <v>630</v>
      </c>
      <c r="D75" s="128" t="s">
        <v>590</v>
      </c>
      <c r="E75" s="119"/>
      <c r="F75" s="126"/>
      <c r="G75" s="127"/>
      <c r="H75" s="127"/>
      <c r="I75" s="197"/>
      <c r="J75" s="197"/>
      <c r="K75" s="133"/>
      <c r="L75" s="124">
        <f ca="1">K$128-'Bang CDPS'!F$105</f>
        <v>0</v>
      </c>
      <c r="M75" s="124">
        <f ca="1">K$128-'Bang CDPS'!G$105</f>
        <v>0</v>
      </c>
      <c r="N75" s="110"/>
      <c r="O75" s="111"/>
      <c r="P75" s="112"/>
      <c r="Q75" s="113"/>
      <c r="R75" s="113"/>
      <c r="S75" s="111"/>
      <c r="T75" s="114"/>
      <c r="U75" s="115"/>
      <c r="V75" s="115"/>
    </row>
    <row r="76" spans="1:22" ht="18.75" customHeight="1" x14ac:dyDescent="0.25">
      <c r="A76" s="116"/>
      <c r="B76" s="125" t="s">
        <v>432</v>
      </c>
      <c r="C76" s="126" t="s">
        <v>630</v>
      </c>
      <c r="D76" s="128" t="s">
        <v>591</v>
      </c>
      <c r="E76" s="119"/>
      <c r="F76" s="120"/>
      <c r="G76" s="121"/>
      <c r="H76" s="121"/>
      <c r="I76" s="197"/>
      <c r="J76" s="197"/>
      <c r="K76" s="133"/>
      <c r="L76" s="124">
        <f ca="1">K$128-'Bang CDPS'!F$105</f>
        <v>0</v>
      </c>
      <c r="M76" s="124">
        <f ca="1">K$128-'Bang CDPS'!G$105</f>
        <v>0</v>
      </c>
      <c r="N76" s="110"/>
      <c r="O76" s="111"/>
      <c r="P76" s="112"/>
      <c r="Q76" s="113"/>
      <c r="R76" s="113"/>
      <c r="S76" s="111"/>
      <c r="T76" s="114"/>
      <c r="U76" s="115"/>
      <c r="V76" s="115"/>
    </row>
    <row r="77" spans="1:22" ht="18.75" customHeight="1" x14ac:dyDescent="0.25">
      <c r="A77" s="116"/>
      <c r="B77" s="125" t="s">
        <v>432</v>
      </c>
      <c r="C77" s="126" t="s">
        <v>630</v>
      </c>
      <c r="D77" s="128" t="s">
        <v>592</v>
      </c>
      <c r="E77" s="119"/>
      <c r="F77" s="126"/>
      <c r="G77" s="127"/>
      <c r="H77" s="127"/>
      <c r="I77" s="197"/>
      <c r="J77" s="197"/>
      <c r="K77" s="133"/>
      <c r="L77" s="124">
        <f ca="1">K$128-'Bang CDPS'!F$105</f>
        <v>0</v>
      </c>
      <c r="M77" s="124">
        <f ca="1">K$128-'Bang CDPS'!G$105</f>
        <v>0</v>
      </c>
      <c r="N77" s="110"/>
      <c r="O77" s="111"/>
      <c r="P77" s="112"/>
      <c r="Q77" s="113"/>
      <c r="R77" s="113"/>
      <c r="S77" s="111"/>
      <c r="T77" s="114"/>
      <c r="U77" s="115"/>
      <c r="V77" s="115"/>
    </row>
    <row r="78" spans="1:22" ht="18.75" customHeight="1" x14ac:dyDescent="0.25">
      <c r="A78" s="116"/>
      <c r="B78" s="125"/>
      <c r="C78" s="116"/>
      <c r="D78" s="128"/>
      <c r="E78" s="134"/>
      <c r="F78" s="135"/>
      <c r="G78" s="136"/>
      <c r="H78" s="136"/>
      <c r="I78" s="197"/>
      <c r="J78" s="201"/>
      <c r="K78" s="133"/>
      <c r="L78" s="124">
        <f ca="1">K$128-'Bang CDPS'!F$105</f>
        <v>0</v>
      </c>
      <c r="M78" s="124">
        <f ca="1">K$128-'Bang CDPS'!G$105</f>
        <v>0</v>
      </c>
      <c r="N78" s="110"/>
      <c r="O78" s="111"/>
      <c r="P78" s="112"/>
      <c r="Q78" s="113"/>
      <c r="R78" s="113"/>
      <c r="S78" s="111"/>
      <c r="T78" s="114"/>
      <c r="U78" s="115"/>
      <c r="V78" s="115"/>
    </row>
    <row r="79" spans="1:22" ht="18.75" customHeight="1" x14ac:dyDescent="0.25">
      <c r="A79" s="116"/>
      <c r="B79" s="125" t="s">
        <v>432</v>
      </c>
      <c r="C79" s="126" t="s">
        <v>630</v>
      </c>
      <c r="D79" s="128" t="s">
        <v>593</v>
      </c>
      <c r="E79" s="119"/>
      <c r="F79" s="126"/>
      <c r="G79" s="127"/>
      <c r="H79" s="127"/>
      <c r="I79" s="197"/>
      <c r="J79" s="197"/>
      <c r="K79" s="133"/>
      <c r="L79" s="124">
        <f ca="1">K$128-'Bang CDPS'!F$105</f>
        <v>0</v>
      </c>
      <c r="M79" s="124">
        <f ca="1">K$128-'Bang CDPS'!G$105</f>
        <v>0</v>
      </c>
      <c r="N79" s="110"/>
      <c r="O79" s="111"/>
      <c r="P79" s="112"/>
      <c r="Q79" s="113"/>
      <c r="R79" s="113"/>
      <c r="S79" s="111"/>
      <c r="T79" s="114"/>
      <c r="U79" s="115"/>
      <c r="V79" s="115"/>
    </row>
    <row r="80" spans="1:22" ht="18.75" customHeight="1" x14ac:dyDescent="0.25">
      <c r="A80" s="116"/>
      <c r="B80" s="125" t="s">
        <v>432</v>
      </c>
      <c r="C80" s="126" t="s">
        <v>630</v>
      </c>
      <c r="D80" s="128" t="s">
        <v>594</v>
      </c>
      <c r="E80" s="119"/>
      <c r="F80" s="120"/>
      <c r="G80" s="121"/>
      <c r="H80" s="121"/>
      <c r="I80" s="197"/>
      <c r="J80" s="197"/>
      <c r="K80" s="133"/>
      <c r="L80" s="124">
        <f ca="1">K$128-'Bang CDPS'!F$105</f>
        <v>0</v>
      </c>
      <c r="M80" s="124">
        <f ca="1">K$128-'Bang CDPS'!G$105</f>
        <v>0</v>
      </c>
      <c r="N80" s="110"/>
      <c r="O80" s="111"/>
      <c r="P80" s="112"/>
      <c r="Q80" s="113"/>
      <c r="R80" s="113"/>
      <c r="S80" s="111"/>
      <c r="T80" s="114"/>
      <c r="U80" s="115"/>
      <c r="V80" s="115"/>
    </row>
    <row r="81" spans="1:22" ht="18.75" customHeight="1" x14ac:dyDescent="0.25">
      <c r="A81" s="116"/>
      <c r="B81" s="125" t="s">
        <v>432</v>
      </c>
      <c r="C81" s="126" t="s">
        <v>630</v>
      </c>
      <c r="D81" s="128" t="s">
        <v>595</v>
      </c>
      <c r="E81" s="119"/>
      <c r="F81" s="126"/>
      <c r="G81" s="127"/>
      <c r="H81" s="127"/>
      <c r="I81" s="197"/>
      <c r="J81" s="197"/>
      <c r="K81" s="133"/>
      <c r="L81" s="124">
        <f ca="1">K$128-'Bang CDPS'!F$105</f>
        <v>0</v>
      </c>
      <c r="M81" s="124">
        <f ca="1">K$128-'Bang CDPS'!G$105</f>
        <v>0</v>
      </c>
      <c r="N81" s="110"/>
      <c r="O81" s="111"/>
      <c r="P81" s="112"/>
      <c r="Q81" s="113"/>
      <c r="R81" s="113"/>
      <c r="S81" s="111"/>
      <c r="T81" s="114"/>
      <c r="U81" s="115"/>
      <c r="V81" s="115"/>
    </row>
    <row r="82" spans="1:22" ht="18.75" customHeight="1" x14ac:dyDescent="0.25">
      <c r="A82" s="116"/>
      <c r="B82" s="125"/>
      <c r="C82" s="116"/>
      <c r="D82" s="128"/>
      <c r="E82" s="119"/>
      <c r="F82" s="126"/>
      <c r="G82" s="127"/>
      <c r="H82" s="127"/>
      <c r="I82" s="197"/>
      <c r="J82" s="197"/>
      <c r="K82" s="133"/>
      <c r="L82" s="124">
        <f ca="1">K$128-'Bang CDPS'!F$105</f>
        <v>0</v>
      </c>
      <c r="M82" s="124">
        <f ca="1">K$128-'Bang CDPS'!G$105</f>
        <v>0</v>
      </c>
      <c r="N82" s="110"/>
      <c r="O82" s="111"/>
      <c r="P82" s="112"/>
      <c r="Q82" s="113"/>
      <c r="R82" s="113"/>
      <c r="S82" s="111"/>
      <c r="T82" s="114"/>
      <c r="U82" s="115"/>
      <c r="V82" s="115"/>
    </row>
    <row r="83" spans="1:22" ht="18.75" customHeight="1" x14ac:dyDescent="0.25">
      <c r="A83" s="116"/>
      <c r="B83" s="125" t="s">
        <v>432</v>
      </c>
      <c r="C83" s="126" t="s">
        <v>630</v>
      </c>
      <c r="D83" s="128" t="s">
        <v>596</v>
      </c>
      <c r="E83" s="119"/>
      <c r="F83" s="126"/>
      <c r="G83" s="127"/>
      <c r="H83" s="127"/>
      <c r="I83" s="197"/>
      <c r="J83" s="197"/>
      <c r="K83" s="133"/>
      <c r="L83" s="124">
        <f ca="1">K$128-'Bang CDPS'!F$105</f>
        <v>0</v>
      </c>
      <c r="M83" s="124">
        <f ca="1">K$128-'Bang CDPS'!G$105</f>
        <v>0</v>
      </c>
      <c r="N83" s="110"/>
      <c r="O83" s="111"/>
      <c r="P83" s="112"/>
      <c r="Q83" s="113"/>
      <c r="R83" s="113"/>
      <c r="S83" s="111"/>
      <c r="T83" s="114"/>
      <c r="U83" s="115"/>
      <c r="V83" s="115"/>
    </row>
    <row r="84" spans="1:22" ht="18.75" customHeight="1" x14ac:dyDescent="0.25">
      <c r="A84" s="116"/>
      <c r="B84" s="125" t="s">
        <v>432</v>
      </c>
      <c r="C84" s="126" t="s">
        <v>630</v>
      </c>
      <c r="D84" s="128" t="s">
        <v>597</v>
      </c>
      <c r="E84" s="119"/>
      <c r="F84" s="120"/>
      <c r="G84" s="121"/>
      <c r="H84" s="121"/>
      <c r="I84" s="197"/>
      <c r="J84" s="197"/>
      <c r="K84" s="133"/>
      <c r="L84" s="124">
        <f ca="1">K$128-'Bang CDPS'!F$105</f>
        <v>0</v>
      </c>
      <c r="M84" s="124">
        <f ca="1">K$128-'Bang CDPS'!G$105</f>
        <v>0</v>
      </c>
      <c r="N84" s="110"/>
      <c r="O84" s="111"/>
      <c r="P84" s="112"/>
      <c r="Q84" s="113"/>
      <c r="R84" s="113"/>
      <c r="S84" s="111"/>
      <c r="T84" s="114"/>
      <c r="U84" s="115"/>
      <c r="V84" s="115"/>
    </row>
    <row r="85" spans="1:22" ht="18.75" customHeight="1" x14ac:dyDescent="0.25">
      <c r="A85" s="116"/>
      <c r="B85" s="125" t="s">
        <v>432</v>
      </c>
      <c r="C85" s="126" t="s">
        <v>630</v>
      </c>
      <c r="D85" s="128" t="s">
        <v>598</v>
      </c>
      <c r="E85" s="119"/>
      <c r="F85" s="126"/>
      <c r="G85" s="127"/>
      <c r="H85" s="127"/>
      <c r="I85" s="197"/>
      <c r="J85" s="197"/>
      <c r="K85" s="133"/>
      <c r="L85" s="124">
        <f ca="1">K$128-'Bang CDPS'!F$105</f>
        <v>0</v>
      </c>
      <c r="M85" s="124">
        <f ca="1">K$128-'Bang CDPS'!G$105</f>
        <v>0</v>
      </c>
      <c r="N85" s="110"/>
      <c r="O85" s="111"/>
      <c r="P85" s="112"/>
      <c r="Q85" s="113"/>
      <c r="R85" s="113"/>
      <c r="S85" s="111"/>
      <c r="T85" s="114"/>
      <c r="U85" s="115"/>
      <c r="V85" s="115"/>
    </row>
    <row r="86" spans="1:22" ht="18.75" customHeight="1" x14ac:dyDescent="0.25">
      <c r="A86" s="116"/>
      <c r="B86" s="125"/>
      <c r="C86" s="126"/>
      <c r="D86" s="128"/>
      <c r="E86" s="134"/>
      <c r="F86" s="138"/>
      <c r="G86" s="139"/>
      <c r="H86" s="139"/>
      <c r="I86" s="231"/>
      <c r="J86" s="231"/>
      <c r="K86" s="140"/>
      <c r="L86" s="124">
        <f ca="1">K$128-'Bang CDPS'!F$105</f>
        <v>0</v>
      </c>
      <c r="M86" s="124">
        <f ca="1">K$128-'Bang CDPS'!G$105</f>
        <v>0</v>
      </c>
      <c r="N86" s="110"/>
      <c r="O86" s="111"/>
      <c r="P86" s="112"/>
      <c r="Q86" s="113"/>
      <c r="R86" s="113"/>
      <c r="S86" s="111"/>
      <c r="T86" s="114"/>
      <c r="U86" s="115"/>
      <c r="V86" s="115"/>
    </row>
    <row r="87" spans="1:22" ht="18.75" customHeight="1" x14ac:dyDescent="0.25">
      <c r="A87" s="116"/>
      <c r="B87" s="125" t="s">
        <v>489</v>
      </c>
      <c r="C87" s="126" t="s">
        <v>630</v>
      </c>
      <c r="D87" s="128" t="s">
        <v>505</v>
      </c>
      <c r="E87" s="119"/>
      <c r="F87" s="120"/>
      <c r="G87" s="121"/>
      <c r="H87" s="121"/>
      <c r="I87" s="197"/>
      <c r="J87" s="197"/>
      <c r="K87" s="133"/>
      <c r="L87" s="124">
        <f ca="1">K$128-'Bang CDPS'!F$105</f>
        <v>0</v>
      </c>
      <c r="M87" s="124">
        <f ca="1">K$128-'Bang CDPS'!G$105</f>
        <v>0</v>
      </c>
      <c r="N87" s="110"/>
      <c r="O87" s="111"/>
      <c r="P87" s="112"/>
      <c r="Q87" s="113"/>
      <c r="R87" s="113"/>
      <c r="S87" s="111"/>
      <c r="T87" s="114"/>
      <c r="U87" s="115"/>
      <c r="V87" s="115"/>
    </row>
    <row r="88" spans="1:22" ht="18.75" customHeight="1" x14ac:dyDescent="0.25">
      <c r="A88" s="116"/>
      <c r="B88" s="125" t="s">
        <v>489</v>
      </c>
      <c r="C88" s="126" t="s">
        <v>630</v>
      </c>
      <c r="D88" s="128" t="s">
        <v>506</v>
      </c>
      <c r="E88" s="134"/>
      <c r="F88" s="138"/>
      <c r="G88" s="139"/>
      <c r="H88" s="139"/>
      <c r="I88" s="197"/>
      <c r="J88" s="197"/>
      <c r="K88" s="140"/>
      <c r="L88" s="124">
        <f ca="1">K$128-'Bang CDPS'!F$105</f>
        <v>0</v>
      </c>
      <c r="M88" s="124">
        <f ca="1">K$128-'Bang CDPS'!G$105</f>
        <v>0</v>
      </c>
      <c r="N88" s="110"/>
      <c r="O88" s="111"/>
      <c r="P88" s="112"/>
      <c r="Q88" s="113"/>
      <c r="R88" s="113"/>
      <c r="S88" s="111"/>
      <c r="T88" s="114"/>
      <c r="U88" s="115"/>
      <c r="V88" s="115"/>
    </row>
    <row r="89" spans="1:22" ht="18.75" customHeight="1" x14ac:dyDescent="0.25">
      <c r="A89" s="116"/>
      <c r="B89" s="125"/>
      <c r="C89" s="116"/>
      <c r="D89" s="128"/>
      <c r="E89" s="134"/>
      <c r="F89" s="138"/>
      <c r="G89" s="139"/>
      <c r="H89" s="139"/>
      <c r="I89" s="231"/>
      <c r="J89" s="197"/>
      <c r="K89" s="140"/>
      <c r="L89" s="124">
        <f ca="1">K$128-'Bang CDPS'!F$105</f>
        <v>0</v>
      </c>
      <c r="M89" s="124">
        <f ca="1">K$128-'Bang CDPS'!G$105</f>
        <v>0</v>
      </c>
      <c r="N89" s="110"/>
      <c r="O89" s="111"/>
      <c r="P89" s="112"/>
      <c r="Q89" s="113"/>
      <c r="R89" s="113"/>
      <c r="S89" s="111"/>
      <c r="T89" s="114"/>
      <c r="U89" s="115"/>
      <c r="V89" s="115"/>
    </row>
    <row r="90" spans="1:22" ht="18.75" customHeight="1" x14ac:dyDescent="0.25">
      <c r="A90" s="116"/>
      <c r="B90" s="125" t="s">
        <v>489</v>
      </c>
      <c r="C90" s="126" t="s">
        <v>630</v>
      </c>
      <c r="D90" s="128" t="s">
        <v>520</v>
      </c>
      <c r="E90" s="134"/>
      <c r="F90" s="138"/>
      <c r="G90" s="139"/>
      <c r="H90" s="139"/>
      <c r="I90" s="197"/>
      <c r="J90" s="197"/>
      <c r="K90" s="140"/>
      <c r="L90" s="124">
        <f ca="1">K$128-'Bang CDPS'!F$105</f>
        <v>0</v>
      </c>
      <c r="M90" s="124">
        <f ca="1">K$128-'Bang CDPS'!G$105</f>
        <v>0</v>
      </c>
      <c r="N90" s="110"/>
      <c r="O90" s="111"/>
      <c r="P90" s="112"/>
      <c r="Q90" s="113"/>
      <c r="R90" s="113"/>
      <c r="S90" s="111"/>
      <c r="T90" s="114"/>
      <c r="U90" s="115"/>
      <c r="V90" s="115"/>
    </row>
    <row r="91" spans="1:22" ht="18.75" customHeight="1" x14ac:dyDescent="0.25">
      <c r="A91" s="116"/>
      <c r="B91" s="125"/>
      <c r="C91" s="126"/>
      <c r="D91" s="128"/>
      <c r="E91" s="134"/>
      <c r="F91" s="138"/>
      <c r="G91" s="139"/>
      <c r="H91" s="139"/>
      <c r="I91" s="231"/>
      <c r="J91" s="231"/>
      <c r="K91" s="140"/>
      <c r="L91" s="124">
        <f ca="1">K$128-'Bang CDPS'!F$105</f>
        <v>0</v>
      </c>
      <c r="M91" s="124">
        <f ca="1">K$128-'Bang CDPS'!G$105</f>
        <v>0</v>
      </c>
      <c r="N91" s="110"/>
      <c r="O91" s="111"/>
      <c r="P91" s="112"/>
      <c r="Q91" s="113"/>
      <c r="R91" s="113"/>
      <c r="S91" s="111"/>
      <c r="T91" s="114"/>
      <c r="U91" s="115"/>
      <c r="V91" s="115"/>
    </row>
    <row r="92" spans="1:22" ht="18.75" customHeight="1" x14ac:dyDescent="0.25">
      <c r="A92" s="116"/>
      <c r="B92" s="125" t="s">
        <v>441</v>
      </c>
      <c r="C92" s="126" t="s">
        <v>630</v>
      </c>
      <c r="D92" s="128" t="s">
        <v>507</v>
      </c>
      <c r="E92" s="134"/>
      <c r="F92" s="135"/>
      <c r="G92" s="136"/>
      <c r="H92" s="136"/>
      <c r="I92" s="197"/>
      <c r="J92" s="197"/>
      <c r="K92" s="133"/>
      <c r="L92" s="124">
        <f ca="1">K$128-'Bang CDPS'!F$105</f>
        <v>0</v>
      </c>
      <c r="M92" s="124">
        <f ca="1">K$128-'Bang CDPS'!G$105</f>
        <v>0</v>
      </c>
      <c r="N92" s="110"/>
      <c r="O92" s="111"/>
      <c r="P92" s="112"/>
      <c r="Q92" s="113"/>
      <c r="R92" s="113"/>
      <c r="S92" s="111"/>
      <c r="T92" s="114"/>
      <c r="U92" s="115"/>
      <c r="V92" s="115"/>
    </row>
    <row r="93" spans="1:22" ht="18.75" customHeight="1" x14ac:dyDescent="0.25">
      <c r="A93" s="116"/>
      <c r="B93" s="125" t="s">
        <v>441</v>
      </c>
      <c r="C93" s="126" t="s">
        <v>630</v>
      </c>
      <c r="D93" s="128" t="s">
        <v>438</v>
      </c>
      <c r="E93" s="134"/>
      <c r="F93" s="135"/>
      <c r="G93" s="136"/>
      <c r="H93" s="136"/>
      <c r="I93" s="197"/>
      <c r="J93" s="197"/>
      <c r="K93" s="133"/>
      <c r="L93" s="124">
        <f ca="1">K$128-'Bang CDPS'!F$105</f>
        <v>0</v>
      </c>
      <c r="M93" s="124">
        <f ca="1">K$128-'Bang CDPS'!G$105</f>
        <v>0</v>
      </c>
      <c r="N93" s="110"/>
      <c r="O93" s="111"/>
      <c r="P93" s="112"/>
      <c r="Q93" s="113"/>
      <c r="R93" s="113"/>
      <c r="S93" s="111"/>
      <c r="T93" s="114"/>
      <c r="U93" s="115"/>
      <c r="V93" s="115"/>
    </row>
    <row r="94" spans="1:22" ht="18.75" customHeight="1" x14ac:dyDescent="0.25">
      <c r="A94" s="116"/>
      <c r="B94" s="142"/>
      <c r="C94" s="116"/>
      <c r="D94" s="128"/>
      <c r="E94" s="141"/>
      <c r="F94" s="134"/>
      <c r="G94" s="136"/>
      <c r="H94" s="136"/>
      <c r="I94" s="197"/>
      <c r="K94" s="133"/>
      <c r="L94" s="124">
        <f ca="1">K$128-'Bang CDPS'!F$105</f>
        <v>0</v>
      </c>
      <c r="M94" s="124">
        <f ca="1">K$128-'Bang CDPS'!G$105</f>
        <v>0</v>
      </c>
      <c r="N94" s="110"/>
      <c r="O94" s="111"/>
      <c r="P94" s="112"/>
      <c r="Q94" s="113"/>
      <c r="R94" s="113"/>
      <c r="S94" s="111"/>
      <c r="T94" s="114"/>
      <c r="U94" s="115"/>
      <c r="V94" s="115"/>
    </row>
    <row r="95" spans="1:22" ht="18.75" customHeight="1" x14ac:dyDescent="0.25">
      <c r="A95" s="116"/>
      <c r="B95" s="142" t="s">
        <v>442</v>
      </c>
      <c r="C95" s="126"/>
      <c r="D95" s="141"/>
      <c r="E95" s="134"/>
      <c r="F95" s="135"/>
      <c r="G95" s="136"/>
      <c r="H95" s="136"/>
      <c r="I95" s="197"/>
      <c r="J95" s="201"/>
      <c r="K95" s="133"/>
      <c r="L95" s="124">
        <f ca="1">K$128-'Bang CDPS'!F$105</f>
        <v>0</v>
      </c>
      <c r="M95" s="124">
        <f ca="1">K$128-'Bang CDPS'!G$105</f>
        <v>0</v>
      </c>
      <c r="N95" s="110"/>
      <c r="O95" s="111"/>
      <c r="P95" s="112"/>
      <c r="Q95" s="113"/>
      <c r="R95" s="113"/>
      <c r="S95" s="111"/>
      <c r="T95" s="114"/>
      <c r="U95" s="115"/>
      <c r="V95" s="115"/>
    </row>
    <row r="96" spans="1:22" ht="18.75" customHeight="1" x14ac:dyDescent="0.25">
      <c r="A96" s="116"/>
      <c r="B96" s="142" t="s">
        <v>443</v>
      </c>
      <c r="C96" s="126"/>
      <c r="D96" s="141"/>
      <c r="E96" s="134"/>
      <c r="F96" s="135"/>
      <c r="G96" s="136"/>
      <c r="H96" s="136"/>
      <c r="I96" s="197"/>
      <c r="J96" s="201"/>
      <c r="K96" s="133"/>
      <c r="L96" s="124">
        <f ca="1">K$128-'Bang CDPS'!F$105</f>
        <v>0</v>
      </c>
      <c r="M96" s="124">
        <f ca="1">K$128-'Bang CDPS'!G$105</f>
        <v>0</v>
      </c>
      <c r="N96" s="110"/>
      <c r="O96" s="111"/>
      <c r="P96" s="112"/>
      <c r="Q96" s="113"/>
      <c r="R96" s="113"/>
      <c r="S96" s="111"/>
      <c r="T96" s="114"/>
      <c r="U96" s="115"/>
      <c r="V96" s="115"/>
    </row>
    <row r="97" spans="1:22" ht="18.75" customHeight="1" x14ac:dyDescent="0.25">
      <c r="A97" s="116"/>
      <c r="B97" s="142" t="s">
        <v>444</v>
      </c>
      <c r="C97" s="126"/>
      <c r="D97" s="141"/>
      <c r="E97" s="134"/>
      <c r="F97" s="135"/>
      <c r="G97" s="136"/>
      <c r="H97" s="136"/>
      <c r="I97" s="197"/>
      <c r="J97" s="197"/>
      <c r="K97" s="133"/>
      <c r="L97" s="124">
        <f ca="1">K$128-'Bang CDPS'!F$105</f>
        <v>0</v>
      </c>
      <c r="M97" s="124">
        <f ca="1">K$128-'Bang CDPS'!G$105</f>
        <v>0</v>
      </c>
      <c r="N97" s="110"/>
      <c r="O97" s="111"/>
      <c r="P97" s="112"/>
      <c r="Q97" s="113"/>
      <c r="R97" s="113"/>
      <c r="S97" s="111"/>
      <c r="T97" s="114"/>
      <c r="U97" s="115"/>
      <c r="V97" s="115"/>
    </row>
    <row r="98" spans="1:22" ht="18.75" customHeight="1" x14ac:dyDescent="0.25">
      <c r="A98" s="116"/>
      <c r="B98" s="142" t="s">
        <v>445</v>
      </c>
      <c r="C98" s="126"/>
      <c r="D98" s="141"/>
      <c r="E98" s="134"/>
      <c r="F98" s="135"/>
      <c r="G98" s="136"/>
      <c r="H98" s="136"/>
      <c r="I98" s="197"/>
      <c r="J98" s="197"/>
      <c r="K98" s="133"/>
      <c r="L98" s="124">
        <f ca="1">K$128-'Bang CDPS'!F$105</f>
        <v>0</v>
      </c>
      <c r="M98" s="124">
        <f ca="1">K$128-'Bang CDPS'!G$105</f>
        <v>0</v>
      </c>
      <c r="N98" s="110"/>
      <c r="O98" s="111"/>
      <c r="P98" s="112"/>
      <c r="Q98" s="113"/>
      <c r="R98" s="113"/>
      <c r="S98" s="111"/>
      <c r="T98" s="114"/>
      <c r="U98" s="115"/>
      <c r="V98" s="115"/>
    </row>
    <row r="99" spans="1:22" ht="18.75" customHeight="1" x14ac:dyDescent="0.25">
      <c r="A99" s="116"/>
      <c r="B99" s="142" t="s">
        <v>446</v>
      </c>
      <c r="C99" s="126"/>
      <c r="D99" s="141"/>
      <c r="E99" s="134"/>
      <c r="F99" s="135"/>
      <c r="G99" s="136"/>
      <c r="H99" s="136"/>
      <c r="I99" s="197"/>
      <c r="J99" s="197"/>
      <c r="K99" s="133"/>
      <c r="L99" s="124">
        <f ca="1">K$128-'Bang CDPS'!F$105</f>
        <v>0</v>
      </c>
      <c r="M99" s="124">
        <f ca="1">K$128-'Bang CDPS'!G$105</f>
        <v>0</v>
      </c>
      <c r="N99" s="110"/>
      <c r="O99" s="111"/>
      <c r="P99" s="112"/>
      <c r="Q99" s="113"/>
      <c r="R99" s="113"/>
      <c r="S99" s="111"/>
      <c r="T99" s="114"/>
      <c r="U99" s="115"/>
      <c r="V99" s="115"/>
    </row>
    <row r="100" spans="1:22" ht="18.75" customHeight="1" x14ac:dyDescent="0.25">
      <c r="A100" s="116"/>
      <c r="B100" s="142" t="s">
        <v>447</v>
      </c>
      <c r="C100" s="126"/>
      <c r="D100" s="141"/>
      <c r="E100" s="134"/>
      <c r="F100" s="135"/>
      <c r="G100" s="136"/>
      <c r="H100" s="136"/>
      <c r="I100" s="197"/>
      <c r="J100" s="197"/>
      <c r="K100" s="133"/>
      <c r="L100" s="124">
        <f ca="1">K$128-'Bang CDPS'!F$105</f>
        <v>0</v>
      </c>
      <c r="M100" s="124">
        <f ca="1">K$128-'Bang CDPS'!G$105</f>
        <v>0</v>
      </c>
      <c r="N100" s="110"/>
      <c r="O100" s="111"/>
      <c r="P100" s="112"/>
      <c r="Q100" s="113"/>
      <c r="R100" s="113"/>
      <c r="S100" s="111"/>
      <c r="T100" s="114"/>
      <c r="U100" s="115"/>
      <c r="V100" s="115"/>
    </row>
    <row r="101" spans="1:22" ht="18.75" customHeight="1" x14ac:dyDescent="0.25">
      <c r="A101" s="116"/>
      <c r="B101" s="142" t="s">
        <v>448</v>
      </c>
      <c r="C101" s="126"/>
      <c r="D101" s="141"/>
      <c r="E101" s="134"/>
      <c r="F101" s="135"/>
      <c r="G101" s="136"/>
      <c r="H101" s="136"/>
      <c r="I101" s="197"/>
      <c r="J101" s="197"/>
      <c r="K101" s="133"/>
      <c r="L101" s="124">
        <f ca="1">K$128-'Bang CDPS'!F$105</f>
        <v>0</v>
      </c>
      <c r="M101" s="124">
        <f ca="1">K$128-'Bang CDPS'!G$105</f>
        <v>0</v>
      </c>
      <c r="N101" s="110"/>
      <c r="O101" s="111"/>
      <c r="P101" s="112"/>
      <c r="Q101" s="113"/>
      <c r="R101" s="113"/>
      <c r="S101" s="111"/>
      <c r="T101" s="114"/>
      <c r="U101" s="115"/>
      <c r="V101" s="115"/>
    </row>
    <row r="102" spans="1:22" ht="18.75" customHeight="1" x14ac:dyDescent="0.25">
      <c r="A102" s="116"/>
      <c r="B102" s="142" t="s">
        <v>449</v>
      </c>
      <c r="C102" s="126"/>
      <c r="D102" s="141"/>
      <c r="E102" s="134"/>
      <c r="F102" s="135"/>
      <c r="G102" s="136"/>
      <c r="H102" s="136"/>
      <c r="I102" s="197"/>
      <c r="J102" s="197"/>
      <c r="K102" s="133"/>
      <c r="L102" s="124">
        <f ca="1">K$128-'Bang CDPS'!F$105</f>
        <v>0</v>
      </c>
      <c r="M102" s="124">
        <f ca="1">K$128-'Bang CDPS'!G$105</f>
        <v>0</v>
      </c>
      <c r="N102" s="110"/>
      <c r="O102" s="111"/>
      <c r="P102" s="112"/>
      <c r="Q102" s="113"/>
      <c r="R102" s="113"/>
      <c r="S102" s="111"/>
      <c r="T102" s="114"/>
      <c r="U102" s="115"/>
      <c r="V102" s="115"/>
    </row>
    <row r="103" spans="1:22" ht="18.75" customHeight="1" x14ac:dyDescent="0.25">
      <c r="A103" s="116"/>
      <c r="B103" s="142"/>
      <c r="C103" s="228"/>
      <c r="D103" s="141"/>
      <c r="E103" s="134"/>
      <c r="F103" s="135"/>
      <c r="G103" s="136"/>
      <c r="H103" s="136"/>
      <c r="I103" s="233"/>
      <c r="J103" s="233"/>
      <c r="K103" s="137"/>
      <c r="L103" s="124">
        <f ca="1">K$128-'Bang CDPS'!F$105</f>
        <v>0</v>
      </c>
      <c r="M103" s="124">
        <f ca="1">K$128-'Bang CDPS'!G$105</f>
        <v>0</v>
      </c>
      <c r="N103" s="110"/>
      <c r="O103" s="111"/>
      <c r="P103" s="112"/>
      <c r="Q103" s="113"/>
      <c r="R103" s="113"/>
      <c r="S103" s="111"/>
      <c r="T103" s="114"/>
      <c r="U103" s="115"/>
      <c r="V103" s="115"/>
    </row>
    <row r="104" spans="1:22" ht="18.75" customHeight="1" x14ac:dyDescent="0.25">
      <c r="A104" s="116"/>
      <c r="B104" s="142" t="s">
        <v>450</v>
      </c>
      <c r="C104" s="126"/>
      <c r="D104" s="141"/>
      <c r="E104" s="134"/>
      <c r="F104" s="135"/>
      <c r="G104" s="136"/>
      <c r="H104" s="136"/>
      <c r="I104" s="233"/>
      <c r="J104" s="197"/>
      <c r="K104" s="137"/>
      <c r="L104" s="124">
        <f ca="1">K$128-'Bang CDPS'!F$105</f>
        <v>0</v>
      </c>
      <c r="M104" s="124">
        <f ca="1">K$128-'Bang CDPS'!G$105</f>
        <v>0</v>
      </c>
      <c r="N104" s="110"/>
      <c r="O104" s="111"/>
      <c r="P104" s="112"/>
      <c r="Q104" s="113"/>
      <c r="R104" s="113"/>
      <c r="S104" s="111"/>
      <c r="T104" s="114"/>
      <c r="U104" s="115"/>
      <c r="V104" s="115"/>
    </row>
    <row r="105" spans="1:22" ht="18.75" customHeight="1" x14ac:dyDescent="0.25">
      <c r="A105" s="116"/>
      <c r="B105" s="142"/>
      <c r="C105" s="228"/>
      <c r="D105" s="141"/>
      <c r="E105" s="134"/>
      <c r="F105" s="135"/>
      <c r="G105" s="136"/>
      <c r="H105" s="136"/>
      <c r="I105" s="233"/>
      <c r="J105" s="233"/>
      <c r="K105" s="137"/>
      <c r="L105" s="124">
        <f ca="1">K$128-'Bang CDPS'!F$105</f>
        <v>0</v>
      </c>
      <c r="M105" s="124">
        <f ca="1">K$128-'Bang CDPS'!G$105</f>
        <v>0</v>
      </c>
      <c r="N105" s="110"/>
      <c r="O105" s="111"/>
      <c r="P105" s="112"/>
      <c r="Q105" s="113"/>
      <c r="R105" s="113"/>
      <c r="S105" s="111"/>
      <c r="T105" s="114"/>
      <c r="U105" s="115"/>
      <c r="V105" s="115"/>
    </row>
    <row r="106" spans="1:22" ht="18.75" customHeight="1" x14ac:dyDescent="0.25">
      <c r="A106" s="116"/>
      <c r="B106" s="142" t="s">
        <v>451</v>
      </c>
      <c r="C106" s="126"/>
      <c r="D106" s="141"/>
      <c r="E106" s="134"/>
      <c r="F106" s="135"/>
      <c r="G106" s="136"/>
      <c r="H106" s="136"/>
      <c r="I106" s="233"/>
      <c r="J106" s="233"/>
      <c r="K106" s="137"/>
      <c r="L106" s="124">
        <f ca="1">K$128-'Bang CDPS'!F$105</f>
        <v>0</v>
      </c>
      <c r="M106" s="124">
        <f ca="1">K$128-'Bang CDPS'!G$105</f>
        <v>0</v>
      </c>
      <c r="N106" s="110"/>
      <c r="O106" s="111"/>
      <c r="P106" s="112"/>
      <c r="Q106" s="113"/>
      <c r="R106" s="113"/>
      <c r="S106" s="111"/>
      <c r="T106" s="114"/>
      <c r="U106" s="115"/>
      <c r="V106" s="115"/>
    </row>
    <row r="107" spans="1:22" ht="18.75" customHeight="1" x14ac:dyDescent="0.25">
      <c r="A107" s="116"/>
      <c r="B107" s="142"/>
      <c r="C107" s="143"/>
      <c r="D107" s="141"/>
      <c r="E107" s="134"/>
      <c r="F107" s="135"/>
      <c r="G107" s="136"/>
      <c r="H107" s="136"/>
      <c r="I107" s="233"/>
      <c r="J107" s="233"/>
      <c r="K107" s="137"/>
      <c r="L107" s="124">
        <f ca="1">K$128-'Bang CDPS'!F$105</f>
        <v>0</v>
      </c>
      <c r="M107" s="124">
        <f ca="1">K$128-'Bang CDPS'!G$105</f>
        <v>0</v>
      </c>
      <c r="N107" s="110"/>
      <c r="O107" s="111"/>
      <c r="P107" s="112"/>
      <c r="Q107" s="113"/>
      <c r="R107" s="113"/>
      <c r="S107" s="111"/>
      <c r="T107" s="114"/>
      <c r="U107" s="115"/>
      <c r="V107" s="115"/>
    </row>
    <row r="108" spans="1:22" ht="18.75" customHeight="1" x14ac:dyDescent="0.25">
      <c r="A108" s="116"/>
      <c r="B108" s="142" t="s">
        <v>452</v>
      </c>
      <c r="C108" s="126"/>
      <c r="D108" s="141"/>
      <c r="E108" s="134"/>
      <c r="F108" s="135"/>
      <c r="G108" s="136"/>
      <c r="H108" s="136"/>
      <c r="I108" s="233"/>
      <c r="J108" s="233"/>
      <c r="K108" s="137"/>
      <c r="L108" s="124">
        <f ca="1">K$128-'Bang CDPS'!F$105</f>
        <v>0</v>
      </c>
      <c r="M108" s="124">
        <f ca="1">K$128-'Bang CDPS'!G$105</f>
        <v>0</v>
      </c>
      <c r="N108" s="110"/>
      <c r="O108" s="111"/>
      <c r="P108" s="112"/>
      <c r="Q108" s="113"/>
      <c r="R108" s="113"/>
      <c r="S108" s="111"/>
      <c r="T108" s="114"/>
      <c r="U108" s="115"/>
      <c r="V108" s="115"/>
    </row>
    <row r="109" spans="1:22" ht="18.75" customHeight="1" x14ac:dyDescent="0.25">
      <c r="A109" s="116"/>
      <c r="B109" s="142"/>
      <c r="C109" s="143"/>
      <c r="D109" s="141"/>
      <c r="E109" s="134"/>
      <c r="F109" s="135"/>
      <c r="G109" s="136"/>
      <c r="H109" s="136"/>
      <c r="I109" s="233"/>
      <c r="J109" s="233"/>
      <c r="K109" s="137"/>
      <c r="L109" s="124">
        <f ca="1">K$128-'Bang CDPS'!F$105</f>
        <v>0</v>
      </c>
      <c r="M109" s="124">
        <f ca="1">K$128-'Bang CDPS'!G$105</f>
        <v>0</v>
      </c>
      <c r="N109" s="110"/>
      <c r="O109" s="111"/>
      <c r="P109" s="112"/>
      <c r="Q109" s="113"/>
      <c r="R109" s="113"/>
      <c r="S109" s="111"/>
      <c r="T109" s="114"/>
      <c r="U109" s="115"/>
      <c r="V109" s="115"/>
    </row>
    <row r="110" spans="1:22" ht="18.75" customHeight="1" x14ac:dyDescent="0.25">
      <c r="A110" s="116"/>
      <c r="B110" s="142" t="s">
        <v>453</v>
      </c>
      <c r="C110" s="126"/>
      <c r="D110" s="141"/>
      <c r="E110" s="134"/>
      <c r="F110" s="135"/>
      <c r="G110" s="136"/>
      <c r="H110" s="136"/>
      <c r="I110" s="233"/>
      <c r="J110" s="197"/>
      <c r="K110" s="137"/>
      <c r="L110" s="124">
        <f ca="1">K$128-'Bang CDPS'!F$105</f>
        <v>0</v>
      </c>
      <c r="M110" s="124">
        <f ca="1">K$128-'Bang CDPS'!G$105</f>
        <v>0</v>
      </c>
      <c r="N110" s="110"/>
      <c r="O110" s="111"/>
      <c r="P110" s="112"/>
      <c r="Q110" s="113"/>
      <c r="R110" s="113"/>
      <c r="S110" s="111"/>
      <c r="T110" s="114"/>
      <c r="U110" s="115"/>
      <c r="V110" s="115"/>
    </row>
    <row r="111" spans="1:22" ht="18.75" customHeight="1" x14ac:dyDescent="0.25">
      <c r="A111" s="116"/>
      <c r="B111" s="142" t="s">
        <v>454</v>
      </c>
      <c r="C111" s="126"/>
      <c r="D111" s="141"/>
      <c r="E111" s="134"/>
      <c r="F111" s="135"/>
      <c r="G111" s="136"/>
      <c r="H111" s="136"/>
      <c r="I111" s="233"/>
      <c r="J111" s="197"/>
      <c r="K111" s="137"/>
      <c r="L111" s="124">
        <f ca="1">K$128-'Bang CDPS'!F$105</f>
        <v>0</v>
      </c>
      <c r="M111" s="124">
        <f ca="1">K$128-'Bang CDPS'!G$105</f>
        <v>0</v>
      </c>
      <c r="N111" s="110"/>
      <c r="O111" s="111"/>
      <c r="P111" s="112"/>
      <c r="Q111" s="113"/>
      <c r="R111" s="113"/>
      <c r="S111" s="111"/>
      <c r="T111" s="114"/>
      <c r="U111" s="115"/>
      <c r="V111" s="115"/>
    </row>
    <row r="112" spans="1:22" ht="18.75" customHeight="1" x14ac:dyDescent="0.25">
      <c r="A112" s="116"/>
      <c r="B112" s="142" t="s">
        <v>455</v>
      </c>
      <c r="C112" s="126"/>
      <c r="D112" s="141"/>
      <c r="E112" s="134"/>
      <c r="F112" s="135"/>
      <c r="G112" s="136"/>
      <c r="H112" s="136"/>
      <c r="I112" s="233"/>
      <c r="J112" s="197"/>
      <c r="K112" s="137"/>
      <c r="L112" s="124">
        <f ca="1">K$128-'Bang CDPS'!F$105</f>
        <v>0</v>
      </c>
      <c r="M112" s="124">
        <f ca="1">K$128-'Bang CDPS'!G$105</f>
        <v>0</v>
      </c>
      <c r="N112" s="110"/>
      <c r="O112" s="111"/>
      <c r="P112" s="112"/>
      <c r="Q112" s="113"/>
      <c r="R112" s="113"/>
      <c r="S112" s="111"/>
      <c r="T112" s="114"/>
      <c r="U112" s="115"/>
      <c r="V112" s="115"/>
    </row>
    <row r="113" spans="1:22" ht="18.75" customHeight="1" x14ac:dyDescent="0.25">
      <c r="A113" s="116"/>
      <c r="B113" s="142" t="s">
        <v>456</v>
      </c>
      <c r="C113" s="126"/>
      <c r="D113" s="141"/>
      <c r="E113" s="134"/>
      <c r="F113" s="135"/>
      <c r="G113" s="136"/>
      <c r="H113" s="136"/>
      <c r="I113" s="233"/>
      <c r="J113" s="197"/>
      <c r="K113" s="137"/>
      <c r="L113" s="124">
        <f ca="1">K$128-'Bang CDPS'!F$105</f>
        <v>0</v>
      </c>
      <c r="M113" s="124">
        <f ca="1">K$128-'Bang CDPS'!G$105</f>
        <v>0</v>
      </c>
      <c r="N113" s="110"/>
      <c r="O113" s="111"/>
      <c r="P113" s="112"/>
      <c r="Q113" s="113"/>
      <c r="R113" s="113"/>
      <c r="S113" s="111"/>
      <c r="T113" s="114"/>
      <c r="U113" s="115"/>
      <c r="V113" s="115"/>
    </row>
    <row r="114" spans="1:22" ht="18.75" customHeight="1" x14ac:dyDescent="0.25">
      <c r="A114" s="116"/>
      <c r="B114" s="142" t="s">
        <v>457</v>
      </c>
      <c r="C114" s="126"/>
      <c r="D114" s="141"/>
      <c r="E114" s="134"/>
      <c r="F114" s="135"/>
      <c r="G114" s="136"/>
      <c r="H114" s="136"/>
      <c r="I114" s="233"/>
      <c r="J114" s="197"/>
      <c r="K114" s="137"/>
      <c r="L114" s="124">
        <f ca="1">K$128-'Bang CDPS'!F$105</f>
        <v>0</v>
      </c>
      <c r="M114" s="124">
        <f ca="1">K$128-'Bang CDPS'!G$105</f>
        <v>0</v>
      </c>
      <c r="N114" s="110"/>
      <c r="O114" s="111"/>
      <c r="P114" s="112"/>
      <c r="Q114" s="113"/>
      <c r="R114" s="113"/>
      <c r="S114" s="111"/>
      <c r="T114" s="114"/>
      <c r="U114" s="115"/>
      <c r="V114" s="115"/>
    </row>
    <row r="115" spans="1:22" ht="18.75" customHeight="1" x14ac:dyDescent="0.25">
      <c r="A115" s="116"/>
      <c r="B115" s="142" t="s">
        <v>458</v>
      </c>
      <c r="C115" s="126"/>
      <c r="D115" s="141"/>
      <c r="E115" s="134"/>
      <c r="F115" s="135"/>
      <c r="G115" s="136"/>
      <c r="H115" s="136"/>
      <c r="I115" s="233"/>
      <c r="J115" s="197"/>
      <c r="K115" s="137"/>
      <c r="L115" s="124">
        <f ca="1">K$128-'Bang CDPS'!F$105</f>
        <v>0</v>
      </c>
      <c r="M115" s="124">
        <f ca="1">K$128-'Bang CDPS'!G$105</f>
        <v>0</v>
      </c>
      <c r="N115" s="110"/>
      <c r="O115" s="111"/>
      <c r="P115" s="112"/>
      <c r="Q115" s="113"/>
      <c r="R115" s="113"/>
      <c r="S115" s="111"/>
      <c r="T115" s="114"/>
      <c r="U115" s="115"/>
      <c r="V115" s="115"/>
    </row>
    <row r="116" spans="1:22" ht="18.75" customHeight="1" x14ac:dyDescent="0.25">
      <c r="A116" s="116"/>
      <c r="B116" s="142" t="s">
        <v>459</v>
      </c>
      <c r="C116" s="126"/>
      <c r="D116" s="141"/>
      <c r="E116" s="134"/>
      <c r="F116" s="135"/>
      <c r="G116" s="136"/>
      <c r="H116" s="136"/>
      <c r="I116" s="233"/>
      <c r="J116" s="197"/>
      <c r="K116" s="137"/>
      <c r="L116" s="124">
        <f ca="1">K$128-'Bang CDPS'!F$105</f>
        <v>0</v>
      </c>
      <c r="M116" s="124">
        <f ca="1">K$128-'Bang CDPS'!G$105</f>
        <v>0</v>
      </c>
      <c r="N116" s="110"/>
      <c r="O116" s="111"/>
      <c r="P116" s="112"/>
      <c r="Q116" s="113"/>
      <c r="R116" s="113"/>
      <c r="S116" s="111"/>
      <c r="T116" s="114"/>
      <c r="U116" s="115"/>
      <c r="V116" s="115"/>
    </row>
    <row r="117" spans="1:22" ht="18.75" customHeight="1" x14ac:dyDescent="0.25">
      <c r="A117" s="116"/>
      <c r="B117" s="142"/>
      <c r="C117" s="116"/>
      <c r="D117" s="141"/>
      <c r="E117" s="134"/>
      <c r="F117" s="135"/>
      <c r="G117" s="136"/>
      <c r="H117" s="136"/>
      <c r="I117" s="233"/>
      <c r="J117" s="197"/>
      <c r="K117" s="137"/>
      <c r="L117" s="124">
        <f ca="1">K$128-'Bang CDPS'!F$105</f>
        <v>0</v>
      </c>
      <c r="M117" s="124">
        <f ca="1">K$128-'Bang CDPS'!G$105</f>
        <v>0</v>
      </c>
      <c r="N117" s="110"/>
      <c r="O117" s="111"/>
      <c r="P117" s="112"/>
      <c r="Q117" s="113"/>
      <c r="R117" s="113"/>
      <c r="S117" s="111"/>
      <c r="T117" s="114"/>
      <c r="U117" s="115"/>
      <c r="V117" s="115"/>
    </row>
    <row r="118" spans="1:22" ht="18.75" customHeight="1" x14ac:dyDescent="0.25">
      <c r="A118" s="116"/>
      <c r="B118" s="142" t="s">
        <v>460</v>
      </c>
      <c r="C118" s="126"/>
      <c r="D118" s="141"/>
      <c r="E118" s="134"/>
      <c r="F118" s="135"/>
      <c r="G118" s="136"/>
      <c r="H118" s="136"/>
      <c r="I118" s="197"/>
      <c r="J118" s="233"/>
      <c r="K118" s="137"/>
      <c r="L118" s="124">
        <f ca="1">K$128-'Bang CDPS'!F$105</f>
        <v>0</v>
      </c>
      <c r="M118" s="124">
        <f ca="1">K$128-'Bang CDPS'!G$105</f>
        <v>0</v>
      </c>
      <c r="N118" s="110"/>
      <c r="O118" s="111"/>
      <c r="P118" s="112"/>
      <c r="Q118" s="113"/>
      <c r="R118" s="113"/>
      <c r="S118" s="111"/>
      <c r="T118" s="114"/>
      <c r="U118" s="115"/>
      <c r="V118" s="115"/>
    </row>
    <row r="119" spans="1:22" ht="18.75" customHeight="1" x14ac:dyDescent="0.25">
      <c r="A119" s="116"/>
      <c r="B119" s="142" t="s">
        <v>460</v>
      </c>
      <c r="C119" s="126"/>
      <c r="D119" s="141"/>
      <c r="E119" s="134"/>
      <c r="F119" s="135"/>
      <c r="G119" s="136"/>
      <c r="H119" s="136"/>
      <c r="I119" s="197"/>
      <c r="J119" s="233"/>
      <c r="K119" s="137"/>
      <c r="L119" s="124">
        <f ca="1">K$128-'Bang CDPS'!F$105</f>
        <v>0</v>
      </c>
      <c r="M119" s="124">
        <f ca="1">K$128-'Bang CDPS'!G$105</f>
        <v>0</v>
      </c>
      <c r="N119" s="110"/>
      <c r="O119" s="111"/>
      <c r="P119" s="112"/>
      <c r="Q119" s="113"/>
      <c r="R119" s="113"/>
      <c r="S119" s="111"/>
      <c r="T119" s="114"/>
      <c r="U119" s="115"/>
      <c r="V119" s="115"/>
    </row>
    <row r="120" spans="1:22" ht="18.75" customHeight="1" x14ac:dyDescent="0.25">
      <c r="A120" s="116"/>
      <c r="B120" s="142" t="s">
        <v>460</v>
      </c>
      <c r="C120" s="126"/>
      <c r="D120" s="141"/>
      <c r="E120" s="134"/>
      <c r="F120" s="135"/>
      <c r="G120" s="136"/>
      <c r="H120" s="136"/>
      <c r="I120" s="197"/>
      <c r="J120" s="233"/>
      <c r="K120" s="137"/>
      <c r="L120" s="124">
        <f ca="1">K$128-'Bang CDPS'!F$105</f>
        <v>0</v>
      </c>
      <c r="M120" s="124">
        <f ca="1">K$128-'Bang CDPS'!G$105</f>
        <v>0</v>
      </c>
      <c r="N120" s="110"/>
      <c r="O120" s="111"/>
      <c r="P120" s="112"/>
      <c r="Q120" s="113"/>
      <c r="R120" s="113"/>
      <c r="S120" s="111"/>
      <c r="T120" s="114"/>
      <c r="U120" s="115"/>
      <c r="V120" s="115"/>
    </row>
    <row r="121" spans="1:22" ht="18.75" customHeight="1" x14ac:dyDescent="0.25">
      <c r="A121" s="116"/>
      <c r="B121" s="142"/>
      <c r="C121" s="116"/>
      <c r="D121" s="141"/>
      <c r="E121" s="134"/>
      <c r="F121" s="135"/>
      <c r="G121" s="136"/>
      <c r="H121" s="136"/>
      <c r="I121" s="233"/>
      <c r="J121" s="197"/>
      <c r="K121" s="137"/>
      <c r="L121" s="124">
        <f ca="1">K$128-'Bang CDPS'!F$105</f>
        <v>0</v>
      </c>
      <c r="M121" s="124">
        <f ca="1">K$128-'Bang CDPS'!G$105</f>
        <v>0</v>
      </c>
      <c r="N121" s="110"/>
      <c r="O121" s="111"/>
      <c r="P121" s="112"/>
      <c r="Q121" s="113"/>
      <c r="R121" s="113"/>
      <c r="S121" s="111"/>
      <c r="T121" s="114"/>
      <c r="U121" s="115"/>
      <c r="V121" s="115"/>
    </row>
    <row r="122" spans="1:22" ht="18.75" customHeight="1" x14ac:dyDescent="0.25">
      <c r="A122" s="116"/>
      <c r="B122" s="142" t="s">
        <v>499</v>
      </c>
      <c r="C122" s="126"/>
      <c r="D122" s="141"/>
      <c r="E122" s="134"/>
      <c r="F122" s="135"/>
      <c r="G122" s="136"/>
      <c r="H122" s="136"/>
      <c r="I122" s="197"/>
      <c r="J122" s="197"/>
      <c r="K122" s="137"/>
      <c r="L122" s="124">
        <f ca="1">K$128-'Bang CDPS'!F$105</f>
        <v>0</v>
      </c>
      <c r="M122" s="124">
        <f ca="1">K$128-'Bang CDPS'!G$105</f>
        <v>0</v>
      </c>
      <c r="N122" s="110"/>
      <c r="O122" s="111"/>
      <c r="P122" s="112"/>
      <c r="Q122" s="113"/>
      <c r="R122" s="113"/>
      <c r="S122" s="111"/>
      <c r="T122" s="114"/>
      <c r="U122" s="115"/>
      <c r="V122" s="115"/>
    </row>
    <row r="123" spans="1:22" ht="18.75" customHeight="1" x14ac:dyDescent="0.25">
      <c r="A123" s="116"/>
      <c r="B123" s="142" t="s">
        <v>500</v>
      </c>
      <c r="C123" s="126"/>
      <c r="D123" s="141"/>
      <c r="E123" s="134"/>
      <c r="F123" s="135"/>
      <c r="G123" s="136"/>
      <c r="H123" s="136"/>
      <c r="I123" s="197"/>
      <c r="J123" s="197"/>
      <c r="K123" s="137"/>
      <c r="L123" s="124">
        <f ca="1">K$128-'Bang CDPS'!F$105</f>
        <v>0</v>
      </c>
      <c r="M123" s="124">
        <f ca="1">K$128-'Bang CDPS'!G$105</f>
        <v>0</v>
      </c>
      <c r="N123" s="110"/>
      <c r="O123" s="111"/>
      <c r="P123" s="112"/>
      <c r="Q123" s="113"/>
      <c r="R123" s="113"/>
      <c r="S123" s="111"/>
      <c r="T123" s="114"/>
      <c r="U123" s="115"/>
      <c r="V123" s="115"/>
    </row>
    <row r="124" spans="1:22" ht="18.75" customHeight="1" x14ac:dyDescent="0.25">
      <c r="A124" s="116"/>
      <c r="B124" s="142"/>
      <c r="C124" s="143"/>
      <c r="D124" s="141"/>
      <c r="E124" s="134"/>
      <c r="F124" s="135"/>
      <c r="G124" s="136"/>
      <c r="H124" s="136"/>
      <c r="I124" s="197"/>
      <c r="J124" s="197"/>
      <c r="K124" s="137"/>
      <c r="L124" s="124">
        <f ca="1">K$128-'Bang CDPS'!F$105</f>
        <v>0</v>
      </c>
      <c r="M124" s="124">
        <f ca="1">K$128-'Bang CDPS'!G$105</f>
        <v>0</v>
      </c>
      <c r="N124" s="110"/>
      <c r="O124" s="111"/>
      <c r="P124" s="112"/>
      <c r="Q124" s="113"/>
      <c r="R124" s="113"/>
      <c r="S124" s="111"/>
      <c r="T124" s="114"/>
      <c r="U124" s="115"/>
      <c r="V124" s="115"/>
    </row>
    <row r="125" spans="1:22" ht="18.75" customHeight="1" x14ac:dyDescent="0.25">
      <c r="A125" s="116"/>
      <c r="B125" s="142" t="s">
        <v>461</v>
      </c>
      <c r="C125" s="126"/>
      <c r="D125" s="141"/>
      <c r="E125" s="134"/>
      <c r="F125" s="135"/>
      <c r="G125" s="136"/>
      <c r="H125" s="136"/>
      <c r="I125" s="197"/>
      <c r="J125" s="197"/>
      <c r="K125" s="137"/>
      <c r="L125" s="124">
        <f ca="1">K$128-'Bang CDPS'!F$105</f>
        <v>0</v>
      </c>
      <c r="M125" s="124">
        <f ca="1">K$128-'Bang CDPS'!G$105</f>
        <v>0</v>
      </c>
      <c r="N125" s="110"/>
      <c r="O125" s="111"/>
      <c r="P125" s="112"/>
      <c r="Q125" s="113"/>
      <c r="R125" s="113"/>
      <c r="S125" s="111"/>
      <c r="T125" s="114"/>
      <c r="U125" s="115"/>
      <c r="V125" s="115"/>
    </row>
    <row r="126" spans="1:22" ht="18.75" customHeight="1" x14ac:dyDescent="0.25">
      <c r="A126" s="116"/>
      <c r="B126" s="142" t="s">
        <v>639</v>
      </c>
      <c r="C126" s="126"/>
      <c r="D126" s="141"/>
      <c r="E126" s="134"/>
      <c r="F126" s="135"/>
      <c r="G126" s="136"/>
      <c r="H126" s="136"/>
      <c r="I126" s="197"/>
      <c r="J126" s="122"/>
      <c r="K126" s="137"/>
      <c r="L126" s="124">
        <f ca="1">K$128-'Bang CDPS'!F$105</f>
        <v>0</v>
      </c>
      <c r="M126" s="124">
        <f ca="1">K$128-'Bang CDPS'!G$105</f>
        <v>0</v>
      </c>
      <c r="N126" s="110"/>
      <c r="O126" s="111"/>
      <c r="P126" s="112"/>
      <c r="Q126" s="113"/>
      <c r="R126" s="113"/>
      <c r="S126" s="111"/>
      <c r="T126" s="114"/>
      <c r="U126" s="115"/>
      <c r="V126" s="115"/>
    </row>
    <row r="127" spans="1:22" ht="18.75" customHeight="1" x14ac:dyDescent="0.25">
      <c r="A127" s="144"/>
      <c r="B127" s="145"/>
      <c r="C127" s="144"/>
      <c r="D127" s="146"/>
      <c r="E127" s="147"/>
      <c r="F127" s="147"/>
      <c r="G127" s="148"/>
      <c r="H127" s="148"/>
      <c r="I127" s="149"/>
      <c r="J127" s="149"/>
      <c r="K127" s="150"/>
      <c r="L127" s="124">
        <f ca="1">K$128-'Bang CDPS'!F$105</f>
        <v>0</v>
      </c>
      <c r="M127" s="124">
        <f ca="1">K$128-'Bang CDPS'!G$105</f>
        <v>0</v>
      </c>
      <c r="N127" s="110"/>
      <c r="O127" s="111"/>
      <c r="P127" s="112"/>
      <c r="Q127" s="113"/>
      <c r="R127" s="113"/>
      <c r="S127" s="111"/>
      <c r="T127" s="114"/>
      <c r="U127" s="115"/>
      <c r="V127" s="115"/>
    </row>
    <row r="128" spans="1:22" ht="18.75" customHeight="1" x14ac:dyDescent="0.25">
      <c r="A128" s="151"/>
      <c r="B128" s="152"/>
      <c r="C128" s="153"/>
      <c r="D128" s="153" t="s">
        <v>114</v>
      </c>
      <c r="E128" s="154"/>
      <c r="F128" s="154"/>
      <c r="G128" s="155"/>
      <c r="H128" s="155"/>
      <c r="I128" s="155"/>
      <c r="J128" s="155"/>
      <c r="K128" s="156">
        <f>SUBTOTAL(9,K13:K127)</f>
        <v>0</v>
      </c>
      <c r="L128" s="157"/>
      <c r="M128" s="97"/>
      <c r="N128" s="158"/>
      <c r="O128" s="159"/>
      <c r="P128" s="159"/>
      <c r="Q128" s="160" t="s">
        <v>170</v>
      </c>
      <c r="R128" s="161"/>
      <c r="S128" s="162"/>
      <c r="T128" s="161"/>
      <c r="U128" s="163">
        <f>SUBTOTAL(9,U13:U127)</f>
        <v>0</v>
      </c>
      <c r="V128" s="163">
        <f>SUBTOTAL(9,V13:V127)</f>
        <v>0</v>
      </c>
    </row>
    <row r="129" spans="1:22" x14ac:dyDescent="0.25">
      <c r="A129" s="66"/>
      <c r="B129" s="66"/>
      <c r="K129" s="164"/>
      <c r="L129" s="165"/>
      <c r="M129" s="97"/>
      <c r="N129" s="166"/>
      <c r="O129" s="167"/>
      <c r="P129" s="166"/>
      <c r="Q129" s="168" t="s">
        <v>168</v>
      </c>
      <c r="R129" s="168"/>
      <c r="S129" s="168"/>
      <c r="T129" s="167"/>
      <c r="U129" s="169">
        <f>MAX(U12+U128-V12-V128,0)</f>
        <v>0</v>
      </c>
      <c r="V129" s="169">
        <f>MAX(V12+V128-U12-U128,0)</f>
        <v>0</v>
      </c>
    </row>
    <row r="130" spans="1:22" x14ac:dyDescent="0.25">
      <c r="C130" s="69"/>
      <c r="K130" s="170"/>
      <c r="L130" s="170"/>
      <c r="M130" s="171"/>
      <c r="N130" s="172"/>
      <c r="O130" s="172"/>
      <c r="P130" s="172"/>
      <c r="Q130" s="173" t="s">
        <v>169</v>
      </c>
      <c r="R130" s="174"/>
      <c r="S130" s="174"/>
      <c r="T130" s="172"/>
      <c r="U130" s="175"/>
      <c r="V130" s="175"/>
    </row>
    <row r="131" spans="1:22" x14ac:dyDescent="0.25">
      <c r="A131" s="66"/>
      <c r="B131" s="66"/>
      <c r="J131" s="176" t="s">
        <v>635</v>
      </c>
      <c r="K131" s="177"/>
      <c r="L131" s="177"/>
      <c r="M131" s="97"/>
      <c r="N131" s="178"/>
      <c r="O131" s="178"/>
      <c r="P131" s="178"/>
      <c r="Q131" s="164"/>
      <c r="R131" s="164"/>
      <c r="S131" s="164"/>
      <c r="T131" s="97"/>
    </row>
    <row r="132" spans="1:22" x14ac:dyDescent="0.25">
      <c r="B132" s="65"/>
      <c r="C132" s="179"/>
      <c r="D132" s="178" t="s">
        <v>167</v>
      </c>
      <c r="E132" s="178"/>
      <c r="F132" s="178"/>
      <c r="G132" s="178"/>
      <c r="H132" s="178"/>
      <c r="J132" s="164" t="s">
        <v>165</v>
      </c>
      <c r="K132" s="63"/>
      <c r="L132" s="63"/>
      <c r="M132" s="97"/>
      <c r="N132" s="178"/>
      <c r="O132" s="178"/>
      <c r="P132" s="66"/>
      <c r="Q132" s="65"/>
      <c r="R132" s="63"/>
      <c r="S132" s="63"/>
      <c r="T132" s="63"/>
      <c r="U132" s="176" t="str">
        <f>J131</f>
        <v>Ngày 30 tháng 11 năm 2023</v>
      </c>
    </row>
    <row r="133" spans="1:22" x14ac:dyDescent="0.25">
      <c r="A133" s="66"/>
      <c r="B133" s="66"/>
      <c r="C133" s="178"/>
      <c r="K133" s="164"/>
      <c r="L133" s="97"/>
      <c r="M133" s="97"/>
      <c r="N133" s="69"/>
      <c r="O133" s="69" t="s">
        <v>166</v>
      </c>
      <c r="Q133" s="178" t="s">
        <v>167</v>
      </c>
      <c r="S133" s="178"/>
      <c r="T133" s="178"/>
      <c r="U133" s="178" t="s">
        <v>165</v>
      </c>
    </row>
    <row r="134" spans="1:22" x14ac:dyDescent="0.25">
      <c r="A134" s="66"/>
      <c r="B134" s="66"/>
      <c r="C134" s="181"/>
      <c r="K134" s="97"/>
      <c r="L134" s="97"/>
      <c r="M134" s="157"/>
      <c r="N134" s="182"/>
      <c r="O134" s="182"/>
      <c r="P134" s="182"/>
      <c r="Q134" s="183"/>
      <c r="R134" s="183"/>
      <c r="S134" s="183"/>
      <c r="T134" s="183"/>
    </row>
    <row r="135" spans="1:22" x14ac:dyDescent="0.25">
      <c r="A135" s="66"/>
      <c r="B135" s="66"/>
      <c r="C135" s="178"/>
      <c r="K135" s="164"/>
      <c r="L135" s="97"/>
      <c r="M135" s="157"/>
      <c r="N135" s="182"/>
      <c r="O135" s="182"/>
      <c r="P135" s="182"/>
      <c r="Q135" s="183"/>
      <c r="R135" s="183"/>
      <c r="S135" s="183"/>
      <c r="T135" s="183"/>
    </row>
    <row r="136" spans="1:22" x14ac:dyDescent="0.25">
      <c r="A136" s="66"/>
      <c r="B136" s="66"/>
      <c r="C136" s="182"/>
      <c r="D136" s="67"/>
      <c r="E136" s="67"/>
      <c r="F136" s="67"/>
      <c r="G136" s="67"/>
      <c r="H136" s="67"/>
      <c r="I136" s="67"/>
      <c r="J136" s="67"/>
      <c r="K136" s="183"/>
      <c r="L136" s="157"/>
      <c r="M136" s="66"/>
      <c r="N136" s="66"/>
      <c r="O136" s="66"/>
      <c r="P136" s="66"/>
      <c r="Q136" s="66"/>
      <c r="R136" s="66"/>
      <c r="S136" s="66"/>
      <c r="T136" s="66"/>
    </row>
    <row r="137" spans="1:22" x14ac:dyDescent="0.25">
      <c r="A137" s="66"/>
      <c r="B137" s="66"/>
      <c r="C137" s="66"/>
      <c r="D137" s="68"/>
      <c r="E137" s="68"/>
      <c r="F137" s="68"/>
      <c r="G137" s="68"/>
      <c r="H137" s="68"/>
      <c r="I137" s="67"/>
      <c r="J137" s="69"/>
      <c r="K137" s="164"/>
      <c r="L137" s="66"/>
    </row>
    <row r="138" spans="1:22" x14ac:dyDescent="0.25">
      <c r="Q138" s="68"/>
      <c r="R138" s="68"/>
      <c r="S138" s="68"/>
      <c r="U138" s="69"/>
    </row>
  </sheetData>
  <autoFilter ref="A11:V127" xr:uid="{00000000-0009-0000-0000-000002000000}"/>
  <mergeCells count="15">
    <mergeCell ref="G9:G10"/>
    <mergeCell ref="H9:H10"/>
    <mergeCell ref="U9:V9"/>
    <mergeCell ref="T9:T10"/>
    <mergeCell ref="I9:J9"/>
    <mergeCell ref="K9:K10"/>
    <mergeCell ref="O9:P9"/>
    <mergeCell ref="N9:N10"/>
    <mergeCell ref="Q9:Q10"/>
    <mergeCell ref="R9:S9"/>
    <mergeCell ref="A9:A10"/>
    <mergeCell ref="E9:E10"/>
    <mergeCell ref="F9:F10"/>
    <mergeCell ref="D9:D10"/>
    <mergeCell ref="B9:C9"/>
  </mergeCells>
  <phoneticPr fontId="2" type="noConversion"/>
  <dataValidations disablePrompts="1" count="1">
    <dataValidation type="list" allowBlank="1" showInputMessage="1" showErrorMessage="1" sqref="Q4" xr:uid="{00000000-0002-0000-0200-000000000000}">
      <formula1>$Y$4:$Y$5</formula1>
    </dataValidation>
  </dataValidations>
  <pageMargins left="0.36" right="0.36" top="0.39370078740157483" bottom="0.36" header="0.23622047244094491" footer="0.21"/>
  <pageSetup paperSize="9" scale="68" fitToHeight="3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85" r:id="rId4" name="ComboBox1">
          <controlPr defaultSize="0" autoLine="0" autoPict="0" linkedCell="T6" listFillRange="'Bang CDPS'!B8:C105" r:id="rId5">
            <anchor moveWithCells="1">
              <from>
                <xdr:col>16</xdr:col>
                <xdr:colOff>3514725</xdr:colOff>
                <xdr:row>5</xdr:row>
                <xdr:rowOff>9525</xdr:rowOff>
              </from>
              <to>
                <xdr:col>21</xdr:col>
                <xdr:colOff>1028700</xdr:colOff>
                <xdr:row>6</xdr:row>
                <xdr:rowOff>38100</xdr:rowOff>
              </to>
            </anchor>
          </controlPr>
        </control>
      </mc:Choice>
      <mc:Fallback>
        <control shapeId="1085" r:id="rId4" name="ComboBox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T19"/>
  <sheetViews>
    <sheetView workbookViewId="0">
      <selection activeCell="G8" sqref="G8"/>
    </sheetView>
  </sheetViews>
  <sheetFormatPr defaultColWidth="9" defaultRowHeight="15" x14ac:dyDescent="0.2"/>
  <cols>
    <col min="1" max="1" width="3.25" style="4" customWidth="1"/>
    <col min="2" max="2" width="6.25" style="4" customWidth="1"/>
    <col min="3" max="3" width="9" style="6"/>
    <col min="4" max="4" width="14.875" style="4" customWidth="1"/>
    <col min="5" max="6" width="9" style="4"/>
    <col min="7" max="7" width="16.625" style="4" customWidth="1"/>
    <col min="8" max="8" width="9" style="4"/>
    <col min="9" max="9" width="15" style="4" customWidth="1"/>
    <col min="10" max="10" width="9" style="4"/>
    <col min="11" max="11" width="13.25" style="4" customWidth="1"/>
    <col min="12" max="12" width="11" style="4" customWidth="1"/>
    <col min="13" max="13" width="13.5" style="4" customWidth="1"/>
    <col min="14" max="14" width="13.375" style="4" customWidth="1"/>
    <col min="15" max="16384" width="9" style="4"/>
  </cols>
  <sheetData>
    <row r="1" spans="2:20" x14ac:dyDescent="0.2">
      <c r="B1" s="1" t="s">
        <v>293</v>
      </c>
    </row>
    <row r="2" spans="2:20" x14ac:dyDescent="0.2">
      <c r="B2" s="1" t="s">
        <v>294</v>
      </c>
    </row>
    <row r="3" spans="2:20" ht="15.75" x14ac:dyDescent="0.2">
      <c r="B3" s="7" t="s">
        <v>295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pans="2:20" ht="15.75" x14ac:dyDescent="0.25">
      <c r="B4" s="9" t="s">
        <v>314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6" spans="2:20" s="12" customFormat="1" ht="15.75" x14ac:dyDescent="0.2">
      <c r="B6" s="407" t="s">
        <v>296</v>
      </c>
      <c r="C6" s="409" t="s">
        <v>297</v>
      </c>
      <c r="D6" s="407" t="s">
        <v>298</v>
      </c>
      <c r="E6" s="407" t="s">
        <v>299</v>
      </c>
      <c r="F6" s="406" t="s">
        <v>300</v>
      </c>
      <c r="G6" s="406"/>
      <c r="H6" s="406" t="s">
        <v>301</v>
      </c>
      <c r="I6" s="406"/>
      <c r="J6" s="406" t="s">
        <v>302</v>
      </c>
      <c r="K6" s="406"/>
      <c r="L6" s="406" t="s">
        <v>303</v>
      </c>
      <c r="M6" s="406"/>
      <c r="N6" s="11"/>
      <c r="O6" s="11"/>
      <c r="P6" s="11"/>
      <c r="Q6" s="11"/>
      <c r="R6" s="11"/>
      <c r="S6" s="11"/>
      <c r="T6" s="11"/>
    </row>
    <row r="7" spans="2:20" s="12" customFormat="1" x14ac:dyDescent="0.2">
      <c r="B7" s="408"/>
      <c r="C7" s="410"/>
      <c r="D7" s="408"/>
      <c r="E7" s="408"/>
      <c r="F7" s="13" t="s">
        <v>304</v>
      </c>
      <c r="G7" s="13" t="s">
        <v>305</v>
      </c>
      <c r="H7" s="13" t="s">
        <v>304</v>
      </c>
      <c r="I7" s="13" t="s">
        <v>305</v>
      </c>
      <c r="J7" s="13" t="s">
        <v>304</v>
      </c>
      <c r="K7" s="13" t="s">
        <v>305</v>
      </c>
      <c r="L7" s="13" t="s">
        <v>304</v>
      </c>
      <c r="M7" s="13" t="s">
        <v>305</v>
      </c>
      <c r="N7" s="11"/>
      <c r="O7" s="11"/>
      <c r="P7" s="11"/>
      <c r="Q7" s="11"/>
      <c r="R7" s="11"/>
      <c r="S7" s="11"/>
      <c r="T7" s="11"/>
    </row>
    <row r="8" spans="2:20" ht="18" customHeight="1" x14ac:dyDescent="0.2">
      <c r="B8" s="14">
        <v>1</v>
      </c>
      <c r="C8" s="15" t="s">
        <v>27</v>
      </c>
      <c r="D8" s="16" t="s">
        <v>313</v>
      </c>
      <c r="E8" s="17" t="s">
        <v>312</v>
      </c>
      <c r="F8" s="18">
        <v>10</v>
      </c>
      <c r="G8" s="18">
        <f>F8*40000000</f>
        <v>400000000</v>
      </c>
      <c r="H8" s="18">
        <v>15</v>
      </c>
      <c r="I8" s="18">
        <f>H8*38000000</f>
        <v>570000000</v>
      </c>
      <c r="J8" s="18">
        <f>4+3</f>
        <v>7</v>
      </c>
      <c r="K8" s="18">
        <f>(I8+G8)/(H8+F8)*J8</f>
        <v>271600000</v>
      </c>
      <c r="L8" s="18">
        <f>F8+H8-J8</f>
        <v>18</v>
      </c>
      <c r="M8" s="18">
        <f>G8+I8-K8</f>
        <v>698400000</v>
      </c>
      <c r="N8" s="2"/>
      <c r="O8" s="2"/>
      <c r="P8" s="2"/>
      <c r="Q8" s="2"/>
      <c r="R8" s="2"/>
      <c r="S8" s="2"/>
      <c r="T8" s="2"/>
    </row>
    <row r="9" spans="2:20" ht="18" customHeight="1" x14ac:dyDescent="0.2">
      <c r="B9" s="19">
        <v>2</v>
      </c>
      <c r="C9" s="3" t="s">
        <v>30</v>
      </c>
      <c r="D9" s="5" t="s">
        <v>311</v>
      </c>
      <c r="E9" s="20" t="s">
        <v>312</v>
      </c>
      <c r="F9" s="21">
        <v>30</v>
      </c>
      <c r="G9" s="21">
        <v>60000000</v>
      </c>
      <c r="H9" s="21">
        <v>10</v>
      </c>
      <c r="I9" s="21">
        <f>H9*2200000</f>
        <v>22000000</v>
      </c>
      <c r="J9" s="21">
        <f>20+10</f>
        <v>30</v>
      </c>
      <c r="K9" s="21">
        <f>(I9+G9)/(H9+F9)*J9</f>
        <v>61500000</v>
      </c>
      <c r="L9" s="21">
        <f>F9+H9-J9</f>
        <v>10</v>
      </c>
      <c r="M9" s="21">
        <f>G9+I9-K9</f>
        <v>20500000</v>
      </c>
      <c r="N9" s="2"/>
      <c r="O9" s="2"/>
      <c r="P9" s="2"/>
      <c r="Q9" s="2"/>
      <c r="R9" s="2"/>
      <c r="S9" s="2"/>
      <c r="T9" s="2"/>
    </row>
    <row r="10" spans="2:20" ht="18" customHeight="1" x14ac:dyDescent="0.2">
      <c r="B10" s="22"/>
      <c r="C10" s="23"/>
      <c r="D10" s="24"/>
      <c r="E10" s="25"/>
      <c r="F10" s="26"/>
      <c r="G10" s="26"/>
      <c r="H10" s="26"/>
      <c r="I10" s="26"/>
      <c r="J10" s="26"/>
      <c r="K10" s="26"/>
      <c r="L10" s="26"/>
      <c r="M10" s="26"/>
      <c r="N10" s="2"/>
      <c r="O10" s="2"/>
      <c r="P10" s="2"/>
      <c r="Q10" s="2"/>
      <c r="R10" s="2"/>
      <c r="S10" s="2"/>
      <c r="T10" s="2"/>
    </row>
    <row r="11" spans="2:20" ht="18" customHeight="1" x14ac:dyDescent="0.25">
      <c r="B11" s="27"/>
      <c r="C11" s="28"/>
      <c r="D11" s="28" t="s">
        <v>306</v>
      </c>
      <c r="E11" s="29"/>
      <c r="F11" s="30">
        <f t="shared" ref="F11:M11" si="0">SUBTOTAL(9,F8:F10)</f>
        <v>40</v>
      </c>
      <c r="G11" s="30">
        <f t="shared" si="0"/>
        <v>460000000</v>
      </c>
      <c r="H11" s="30">
        <f t="shared" si="0"/>
        <v>25</v>
      </c>
      <c r="I11" s="30">
        <f t="shared" si="0"/>
        <v>592000000</v>
      </c>
      <c r="J11" s="30">
        <f t="shared" si="0"/>
        <v>37</v>
      </c>
      <c r="K11" s="30">
        <f t="shared" si="0"/>
        <v>333100000</v>
      </c>
      <c r="L11" s="30">
        <f t="shared" si="0"/>
        <v>28</v>
      </c>
      <c r="M11" s="30">
        <f t="shared" si="0"/>
        <v>718900000</v>
      </c>
      <c r="N11" s="2"/>
      <c r="O11" s="2"/>
      <c r="P11" s="2"/>
      <c r="Q11" s="2"/>
      <c r="R11" s="2"/>
      <c r="S11" s="2"/>
      <c r="T11" s="2"/>
    </row>
    <row r="13" spans="2:20" x14ac:dyDescent="0.2">
      <c r="D13" s="6" t="s">
        <v>307</v>
      </c>
      <c r="G13" s="4" t="s">
        <v>308</v>
      </c>
      <c r="K13" s="31" t="s">
        <v>309</v>
      </c>
      <c r="L13" s="2"/>
      <c r="M13" s="2"/>
    </row>
    <row r="14" spans="2:20" x14ac:dyDescent="0.2">
      <c r="K14" s="31" t="s">
        <v>310</v>
      </c>
      <c r="L14" s="2"/>
      <c r="M14" s="2"/>
    </row>
    <row r="19" spans="6:11" ht="15.75" x14ac:dyDescent="0.25">
      <c r="F19" s="32"/>
      <c r="K19" s="32"/>
    </row>
  </sheetData>
  <mergeCells count="8">
    <mergeCell ref="H6:I6"/>
    <mergeCell ref="J6:K6"/>
    <mergeCell ref="L6:M6"/>
    <mergeCell ref="B6:B7"/>
    <mergeCell ref="C6:C7"/>
    <mergeCell ref="D6:D7"/>
    <mergeCell ref="E6:E7"/>
    <mergeCell ref="F6:G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B1:T115"/>
  <sheetViews>
    <sheetView showZeros="0" topLeftCell="A55" zoomScaleNormal="100" workbookViewId="0">
      <selection activeCell="F69" sqref="F69"/>
    </sheetView>
  </sheetViews>
  <sheetFormatPr defaultColWidth="9" defaultRowHeight="18" customHeight="1" x14ac:dyDescent="0.25"/>
  <cols>
    <col min="1" max="1" width="4.75" style="63" customWidth="1"/>
    <col min="2" max="2" width="12.375" style="63" customWidth="1"/>
    <col min="3" max="3" width="44.625" style="63" customWidth="1"/>
    <col min="4" max="4" width="16.75" style="63" customWidth="1"/>
    <col min="5" max="5" width="18.75" style="63" customWidth="1"/>
    <col min="6" max="9" width="16.75" style="63" customWidth="1"/>
    <col min="10" max="10" width="13.625" style="63" bestFit="1" customWidth="1"/>
    <col min="11" max="11" width="16.875" style="184" bestFit="1" customWidth="1"/>
    <col min="12" max="12" width="15.25" style="184" bestFit="1" customWidth="1"/>
    <col min="13" max="13" width="16.875" style="184" bestFit="1" customWidth="1"/>
    <col min="14" max="16384" width="9" style="63"/>
  </cols>
  <sheetData>
    <row r="1" spans="2:20" ht="18" customHeight="1" x14ac:dyDescent="0.25">
      <c r="B1" s="63" t="str">
        <f>'NKC-Socai'!B1</f>
        <v>Công ty TNHH Dịch vụ Ngôi Sao</v>
      </c>
    </row>
    <row r="2" spans="2:20" ht="18" customHeight="1" x14ac:dyDescent="0.25">
      <c r="B2" s="63" t="str">
        <f>'NKC-Socai'!B2</f>
        <v>360 Nguyễn Thị Minh Khai, Phường 5, Quận 3, TP.HCM</v>
      </c>
      <c r="E2" s="185"/>
    </row>
    <row r="3" spans="2:20" ht="22.5" customHeight="1" x14ac:dyDescent="0.25">
      <c r="B3" s="186" t="s">
        <v>175</v>
      </c>
      <c r="C3" s="187"/>
      <c r="D3" s="187"/>
      <c r="E3" s="187"/>
      <c r="F3" s="187"/>
      <c r="G3" s="187"/>
      <c r="H3" s="187"/>
      <c r="I3" s="187"/>
    </row>
    <row r="4" spans="2:20" ht="18" customHeight="1" x14ac:dyDescent="0.25">
      <c r="B4" s="188" t="str">
        <f>'NKC-Socai'!B5</f>
        <v>Tháng 11/2023</v>
      </c>
      <c r="C4" s="187"/>
      <c r="D4" s="187"/>
      <c r="E4" s="187"/>
      <c r="F4" s="187"/>
      <c r="G4" s="187"/>
      <c r="H4" s="187"/>
      <c r="I4" s="187"/>
    </row>
    <row r="6" spans="2:20" ht="18" customHeight="1" x14ac:dyDescent="0.25">
      <c r="B6" s="189" t="s">
        <v>173</v>
      </c>
      <c r="C6" s="189" t="s">
        <v>150</v>
      </c>
      <c r="D6" s="190" t="s">
        <v>158</v>
      </c>
      <c r="E6" s="190"/>
      <c r="F6" s="190" t="s">
        <v>171</v>
      </c>
      <c r="G6" s="190"/>
      <c r="H6" s="190" t="s">
        <v>172</v>
      </c>
      <c r="I6" s="190"/>
      <c r="R6" s="80" t="s">
        <v>131</v>
      </c>
      <c r="T6" s="80" t="s">
        <v>138</v>
      </c>
    </row>
    <row r="7" spans="2:20" ht="18" customHeight="1" x14ac:dyDescent="0.25">
      <c r="B7" s="191"/>
      <c r="C7" s="191"/>
      <c r="D7" s="189" t="s">
        <v>151</v>
      </c>
      <c r="E7" s="189" t="s">
        <v>152</v>
      </c>
      <c r="F7" s="189" t="s">
        <v>151</v>
      </c>
      <c r="G7" s="189" t="s">
        <v>152</v>
      </c>
      <c r="H7" s="189" t="s">
        <v>151</v>
      </c>
      <c r="I7" s="189" t="s">
        <v>152</v>
      </c>
    </row>
    <row r="8" spans="2:20" s="192" customFormat="1" ht="19.5" customHeight="1" x14ac:dyDescent="0.25">
      <c r="B8" s="193" t="s">
        <v>129</v>
      </c>
      <c r="C8" s="194" t="s">
        <v>188</v>
      </c>
      <c r="D8" s="195">
        <f>SUBTOTAL(9,D9)</f>
        <v>250000000</v>
      </c>
      <c r="E8" s="195"/>
      <c r="F8" s="195">
        <f t="shared" ref="F8" ca="1" si="0">SUBTOTAL(9,F9)</f>
        <v>0</v>
      </c>
      <c r="G8" s="195">
        <f t="shared" ref="G8" ca="1" si="1">SUBTOTAL(9,G9)</f>
        <v>0</v>
      </c>
      <c r="H8" s="195">
        <f t="shared" ref="H8" ca="1" si="2">SUBTOTAL(9,H9)</f>
        <v>250000000</v>
      </c>
      <c r="I8" s="195">
        <f t="shared" ref="I8" ca="1" si="3">SUBTOTAL(9,I9)</f>
        <v>0</v>
      </c>
      <c r="K8" s="196"/>
      <c r="L8" s="196"/>
      <c r="M8" s="196"/>
    </row>
    <row r="9" spans="2:20" s="192" customFormat="1" ht="19.5" customHeight="1" x14ac:dyDescent="0.25">
      <c r="B9" s="122" t="s">
        <v>231</v>
      </c>
      <c r="C9" s="122" t="s">
        <v>280</v>
      </c>
      <c r="D9" s="198">
        <v>250000000</v>
      </c>
      <c r="E9" s="198"/>
      <c r="F9" s="199">
        <f ca="1">SUMIF('NKC-Socai'!I$13:I$527,$B9,'NKC-Socai'!K$13:K$127)</f>
        <v>0</v>
      </c>
      <c r="G9" s="199">
        <f ca="1">SUMIF('NKC-Socai'!J$13:J$527,$B9,'NKC-Socai'!K$13:K$127)</f>
        <v>0</v>
      </c>
      <c r="H9" s="199">
        <f t="shared" ref="H9" ca="1" si="4">MAX(D9+F9-E9-G9,0)</f>
        <v>250000000</v>
      </c>
      <c r="I9" s="199">
        <f t="shared" ref="I9" ca="1" si="5">MAX(E9+G9-D9-F9,0)</f>
        <v>0</v>
      </c>
      <c r="K9" s="196"/>
      <c r="L9" s="196"/>
      <c r="M9" s="196"/>
    </row>
    <row r="10" spans="2:20" s="192" customFormat="1" ht="19.5" customHeight="1" x14ac:dyDescent="0.25">
      <c r="B10" s="200" t="s">
        <v>181</v>
      </c>
      <c r="C10" s="201" t="s">
        <v>189</v>
      </c>
      <c r="D10" s="202">
        <f>SUBTOTAL(9,D11:D12)</f>
        <v>1050000000</v>
      </c>
      <c r="E10" s="202"/>
      <c r="F10" s="202">
        <f t="shared" ref="F10:I10" ca="1" si="6">SUBTOTAL(9,F11:F12)</f>
        <v>0</v>
      </c>
      <c r="G10" s="202">
        <f t="shared" ca="1" si="6"/>
        <v>0</v>
      </c>
      <c r="H10" s="202">
        <f t="shared" ca="1" si="6"/>
        <v>1050000000</v>
      </c>
      <c r="I10" s="202">
        <f t="shared" ca="1" si="6"/>
        <v>0</v>
      </c>
      <c r="K10" s="196"/>
      <c r="L10" s="196"/>
      <c r="M10" s="196"/>
    </row>
    <row r="11" spans="2:20" s="192" customFormat="1" ht="19.5" customHeight="1" x14ac:dyDescent="0.25">
      <c r="B11" s="203" t="s">
        <v>277</v>
      </c>
      <c r="C11" s="204" t="s">
        <v>278</v>
      </c>
      <c r="D11" s="205">
        <f>SUBTOTAL(9,D12)</f>
        <v>1050000000</v>
      </c>
      <c r="E11" s="205"/>
      <c r="F11" s="205">
        <f t="shared" ref="F11:I11" ca="1" si="7">SUBTOTAL(9,F12)</f>
        <v>0</v>
      </c>
      <c r="G11" s="205">
        <f t="shared" ca="1" si="7"/>
        <v>0</v>
      </c>
      <c r="H11" s="205">
        <f t="shared" ca="1" si="7"/>
        <v>1050000000</v>
      </c>
      <c r="I11" s="205">
        <f t="shared" ca="1" si="7"/>
        <v>0</v>
      </c>
      <c r="K11" s="196"/>
      <c r="L11" s="196"/>
      <c r="M11" s="196"/>
    </row>
    <row r="12" spans="2:20" s="192" customFormat="1" ht="19.5" customHeight="1" x14ac:dyDescent="0.25">
      <c r="B12" s="122" t="s">
        <v>279</v>
      </c>
      <c r="C12" s="122" t="s">
        <v>544</v>
      </c>
      <c r="D12" s="198">
        <v>1050000000</v>
      </c>
      <c r="E12" s="198"/>
      <c r="F12" s="199">
        <f ca="1">SUMIF('NKC-Socai'!I$13:I$527,$B12,'NKC-Socai'!K$13:K$127)</f>
        <v>0</v>
      </c>
      <c r="G12" s="199">
        <f ca="1">SUMIF('NKC-Socai'!J$13:J$527,$B12,'NKC-Socai'!K$13:K$127)</f>
        <v>0</v>
      </c>
      <c r="H12" s="199">
        <f t="shared" ref="H12" ca="1" si="8">MAX(D12+F12-E12-G12,0)</f>
        <v>1050000000</v>
      </c>
      <c r="I12" s="199">
        <f t="shared" ref="I12" ca="1" si="9">MAX(E12+G12-D12-F12,0)</f>
        <v>0</v>
      </c>
      <c r="K12" s="196"/>
      <c r="L12" s="196"/>
      <c r="M12" s="196"/>
    </row>
    <row r="13" spans="2:20" s="192" customFormat="1" ht="19.5" customHeight="1" x14ac:dyDescent="0.25">
      <c r="B13" s="200" t="s">
        <v>130</v>
      </c>
      <c r="C13" s="201" t="s">
        <v>190</v>
      </c>
      <c r="D13" s="206">
        <f>SUBTOTAL(9,D14:D16)</f>
        <v>240000000</v>
      </c>
      <c r="E13" s="206"/>
      <c r="F13" s="206">
        <f t="shared" ref="F13:I13" ca="1" si="10">SUBTOTAL(9,F14:F16)</f>
        <v>0</v>
      </c>
      <c r="G13" s="206">
        <f t="shared" ca="1" si="10"/>
        <v>0</v>
      </c>
      <c r="H13" s="206">
        <f t="shared" ca="1" si="10"/>
        <v>240000000</v>
      </c>
      <c r="I13" s="206">
        <f t="shared" ca="1" si="10"/>
        <v>0</v>
      </c>
      <c r="K13" s="196"/>
      <c r="L13" s="196"/>
      <c r="M13" s="196"/>
    </row>
    <row r="14" spans="2:20" s="192" customFormat="1" ht="19.5" customHeight="1" x14ac:dyDescent="0.25">
      <c r="B14" s="203" t="s">
        <v>207</v>
      </c>
      <c r="C14" s="204" t="s">
        <v>210</v>
      </c>
      <c r="D14" s="207">
        <f>SUBTOTAL(9,D15:D16)</f>
        <v>240000000</v>
      </c>
      <c r="E14" s="207"/>
      <c r="F14" s="207">
        <f t="shared" ref="F14:I14" ca="1" si="11">SUBTOTAL(9,F15:F16)</f>
        <v>0</v>
      </c>
      <c r="G14" s="207">
        <f t="shared" ca="1" si="11"/>
        <v>0</v>
      </c>
      <c r="H14" s="207">
        <f t="shared" ca="1" si="11"/>
        <v>240000000</v>
      </c>
      <c r="I14" s="207">
        <f t="shared" ca="1" si="11"/>
        <v>0</v>
      </c>
      <c r="K14" s="196"/>
      <c r="L14" s="196"/>
      <c r="M14" s="196"/>
    </row>
    <row r="15" spans="2:20" s="192" customFormat="1" ht="19.5" customHeight="1" x14ac:dyDescent="0.25">
      <c r="B15" s="122" t="s">
        <v>208</v>
      </c>
      <c r="C15" s="122" t="s">
        <v>315</v>
      </c>
      <c r="D15" s="198">
        <v>80000000</v>
      </c>
      <c r="E15" s="198"/>
      <c r="F15" s="199">
        <f ca="1">SUMIF('NKC-Socai'!I$13:I$527,$B15,'NKC-Socai'!K$13:K$127)</f>
        <v>0</v>
      </c>
      <c r="G15" s="199">
        <f ca="1">SUMIF('NKC-Socai'!J$13:J$527,$B15,'NKC-Socai'!K$13:K$127)</f>
        <v>0</v>
      </c>
      <c r="H15" s="199">
        <f t="shared" ref="H15:H16" ca="1" si="12">MAX(D15+F15-E15-G15,0)</f>
        <v>80000000</v>
      </c>
      <c r="I15" s="199">
        <f t="shared" ref="I15:I16" ca="1" si="13">MAX(E15+G15-D15-F15,0)</f>
        <v>0</v>
      </c>
      <c r="K15" s="196"/>
      <c r="L15" s="196"/>
      <c r="M15" s="196"/>
    </row>
    <row r="16" spans="2:20" s="192" customFormat="1" ht="19.5" customHeight="1" x14ac:dyDescent="0.25">
      <c r="B16" s="122" t="s">
        <v>209</v>
      </c>
      <c r="C16" s="122" t="s">
        <v>316</v>
      </c>
      <c r="D16" s="198">
        <v>160000000</v>
      </c>
      <c r="E16" s="198"/>
      <c r="F16" s="199">
        <f ca="1">SUMIF('NKC-Socai'!I$13:I$527,$B16,'NKC-Socai'!K$13:K$127)</f>
        <v>0</v>
      </c>
      <c r="G16" s="199">
        <f ca="1">SUMIF('NKC-Socai'!J$13:J$527,$B16,'NKC-Socai'!K$13:K$127)</f>
        <v>0</v>
      </c>
      <c r="H16" s="199">
        <f t="shared" ca="1" si="12"/>
        <v>160000000</v>
      </c>
      <c r="I16" s="199">
        <f t="shared" ca="1" si="13"/>
        <v>0</v>
      </c>
      <c r="K16" s="196"/>
      <c r="L16" s="196"/>
      <c r="M16" s="196"/>
    </row>
    <row r="17" spans="2:13" s="192" customFormat="1" ht="19.5" customHeight="1" x14ac:dyDescent="0.25">
      <c r="B17" s="208" t="s">
        <v>182</v>
      </c>
      <c r="C17" s="209" t="s">
        <v>191</v>
      </c>
      <c r="D17" s="202">
        <f>SUBTOTAL(9,D18:D19)</f>
        <v>0</v>
      </c>
      <c r="E17" s="202"/>
      <c r="F17" s="202">
        <f t="shared" ref="F17" ca="1" si="14">SUBTOTAL(9,F18:F19)</f>
        <v>0</v>
      </c>
      <c r="G17" s="202">
        <f t="shared" ref="G17" ca="1" si="15">SUBTOTAL(9,G18:G19)</f>
        <v>0</v>
      </c>
      <c r="H17" s="202">
        <f t="shared" ref="H17" ca="1" si="16">SUBTOTAL(9,H18:H19)</f>
        <v>0</v>
      </c>
      <c r="I17" s="202">
        <f t="shared" ref="I17" ca="1" si="17">SUBTOTAL(9,I18:I19)</f>
        <v>0</v>
      </c>
      <c r="K17" s="196"/>
      <c r="L17" s="196"/>
      <c r="M17" s="196"/>
    </row>
    <row r="18" spans="2:13" s="192" customFormat="1" ht="19.5" customHeight="1" x14ac:dyDescent="0.25">
      <c r="B18" s="122" t="s">
        <v>232</v>
      </c>
      <c r="C18" s="122" t="s">
        <v>233</v>
      </c>
      <c r="D18" s="198"/>
      <c r="E18" s="198"/>
      <c r="F18" s="199">
        <f ca="1">SUMIF('NKC-Socai'!I$13:I$527,$B18,'NKC-Socai'!K$13:K$127)</f>
        <v>0</v>
      </c>
      <c r="G18" s="199">
        <f ca="1">SUMIF('NKC-Socai'!J$13:J$527,$B18,'NKC-Socai'!K$13:K$127)</f>
        <v>0</v>
      </c>
      <c r="H18" s="199">
        <f t="shared" ref="H18:H65" ca="1" si="18">MAX(D18+F18-E18-G18,0)</f>
        <v>0</v>
      </c>
      <c r="I18" s="199">
        <f t="shared" ref="I18:I65" ca="1" si="19">MAX(E18+G18-D18-F18,0)</f>
        <v>0</v>
      </c>
      <c r="K18" s="196"/>
      <c r="L18" s="196"/>
      <c r="M18" s="196"/>
    </row>
    <row r="19" spans="2:13" s="192" customFormat="1" ht="19.5" customHeight="1" x14ac:dyDescent="0.25">
      <c r="B19" s="122" t="s">
        <v>235</v>
      </c>
      <c r="C19" s="122" t="s">
        <v>234</v>
      </c>
      <c r="D19" s="198"/>
      <c r="E19" s="198"/>
      <c r="F19" s="199">
        <f ca="1">SUMIF('NKC-Socai'!I$13:I$527,$B19,'NKC-Socai'!K$13:K$127)</f>
        <v>0</v>
      </c>
      <c r="G19" s="199">
        <f ca="1">SUMIF('NKC-Socai'!J$13:J$527,$B19,'NKC-Socai'!K$13:K$127)</f>
        <v>0</v>
      </c>
      <c r="H19" s="199">
        <f t="shared" ca="1" si="18"/>
        <v>0</v>
      </c>
      <c r="I19" s="199">
        <f t="shared" ca="1" si="19"/>
        <v>0</v>
      </c>
      <c r="K19" s="196"/>
      <c r="L19" s="196"/>
      <c r="M19" s="196"/>
    </row>
    <row r="20" spans="2:13" s="192" customFormat="1" ht="19.5" customHeight="1" x14ac:dyDescent="0.25">
      <c r="B20" s="200" t="s">
        <v>481</v>
      </c>
      <c r="C20" s="201" t="s">
        <v>482</v>
      </c>
      <c r="D20" s="202">
        <f>SUBTOTAL(9,D21:D22)</f>
        <v>88750000</v>
      </c>
      <c r="E20" s="202">
        <f t="shared" ref="E20:I20" si="20">SUBTOTAL(9,E21:E22)</f>
        <v>0</v>
      </c>
      <c r="F20" s="202">
        <f t="shared" ca="1" si="20"/>
        <v>0</v>
      </c>
      <c r="G20" s="202">
        <f t="shared" ca="1" si="20"/>
        <v>0</v>
      </c>
      <c r="H20" s="202">
        <f t="shared" ca="1" si="20"/>
        <v>88750000</v>
      </c>
      <c r="I20" s="202">
        <f t="shared" ca="1" si="20"/>
        <v>0</v>
      </c>
      <c r="K20" s="196"/>
      <c r="L20" s="196"/>
      <c r="M20" s="196"/>
    </row>
    <row r="21" spans="2:13" s="192" customFormat="1" ht="19.5" customHeight="1" x14ac:dyDescent="0.25">
      <c r="B21" s="122" t="s">
        <v>483</v>
      </c>
      <c r="C21" s="197" t="s">
        <v>631</v>
      </c>
      <c r="D21" s="198">
        <v>23000000</v>
      </c>
      <c r="E21" s="198"/>
      <c r="F21" s="199">
        <f ca="1">SUMIF('NKC-Socai'!I$13:I$527,$B21,'NKC-Socai'!K$13:K$127)</f>
        <v>0</v>
      </c>
      <c r="G21" s="199">
        <f ca="1">SUMIF('NKC-Socai'!J$13:J$527,$B21,'NKC-Socai'!K$13:K$127)</f>
        <v>0</v>
      </c>
      <c r="H21" s="199">
        <f t="shared" ref="H21" ca="1" si="21">MAX(D21+F21-E21-G21,0)</f>
        <v>23000000</v>
      </c>
      <c r="I21" s="199">
        <f t="shared" ref="I21" ca="1" si="22">MAX(E21+G21-D21-F21,0)</f>
        <v>0</v>
      </c>
      <c r="K21" s="196"/>
      <c r="L21" s="196"/>
      <c r="M21" s="196"/>
    </row>
    <row r="22" spans="2:13" s="192" customFormat="1" ht="19.5" customHeight="1" x14ac:dyDescent="0.25">
      <c r="B22" s="122" t="s">
        <v>498</v>
      </c>
      <c r="C22" s="197" t="s">
        <v>501</v>
      </c>
      <c r="D22" s="198">
        <v>65750000</v>
      </c>
      <c r="E22" s="198"/>
      <c r="F22" s="199">
        <f ca="1">SUMIF('NKC-Socai'!I$13:I$527,$B22,'NKC-Socai'!K$13:K$127)</f>
        <v>0</v>
      </c>
      <c r="G22" s="199">
        <f ca="1">SUMIF('NKC-Socai'!J$13:J$527,$B22,'NKC-Socai'!K$13:K$127)</f>
        <v>0</v>
      </c>
      <c r="H22" s="199">
        <f t="shared" ref="H22" ca="1" si="23">MAX(D22+F22-E22-G22,0)</f>
        <v>65750000</v>
      </c>
      <c r="I22" s="199">
        <f t="shared" ref="I22" ca="1" si="24">MAX(E22+G22-D22-F22,0)</f>
        <v>0</v>
      </c>
      <c r="K22" s="196"/>
      <c r="L22" s="196"/>
      <c r="M22" s="196"/>
    </row>
    <row r="23" spans="2:13" s="192" customFormat="1" ht="19.5" customHeight="1" x14ac:dyDescent="0.25">
      <c r="B23" s="200" t="s">
        <v>205</v>
      </c>
      <c r="C23" s="201" t="s">
        <v>206</v>
      </c>
      <c r="D23" s="202">
        <f>SUBTOTAL(9,D24:D28)</f>
        <v>13800000</v>
      </c>
      <c r="E23" s="202"/>
      <c r="F23" s="202">
        <f ca="1">SUBTOTAL(9,F24:F28)</f>
        <v>0</v>
      </c>
      <c r="G23" s="202">
        <f ca="1">SUBTOTAL(9,G24:G28)</f>
        <v>0</v>
      </c>
      <c r="H23" s="202">
        <f ca="1">SUBTOTAL(9,H24:H28)</f>
        <v>13800000</v>
      </c>
      <c r="I23" s="202">
        <f ca="1">SUBTOTAL(9,I24:I28)</f>
        <v>0</v>
      </c>
      <c r="K23" s="196"/>
      <c r="L23" s="196"/>
      <c r="M23" s="196"/>
    </row>
    <row r="24" spans="2:13" s="192" customFormat="1" ht="19.5" customHeight="1" x14ac:dyDescent="0.25">
      <c r="B24" s="122" t="s">
        <v>215</v>
      </c>
      <c r="C24" s="122" t="s">
        <v>527</v>
      </c>
      <c r="D24" s="198">
        <f>DT_XK!F2</f>
        <v>2500000</v>
      </c>
      <c r="E24" s="198"/>
      <c r="F24" s="199">
        <f ca="1">SUMIF('NKC-Socai'!I$13:I$527,$B24,'NKC-Socai'!K$13:K$127)</f>
        <v>0</v>
      </c>
      <c r="G24" s="199">
        <f ca="1">SUMIF('NKC-Socai'!J$13:J$527,$B24,'NKC-Socai'!K$13:K$127)</f>
        <v>0</v>
      </c>
      <c r="H24" s="199">
        <f t="shared" ca="1" si="18"/>
        <v>2500000</v>
      </c>
      <c r="I24" s="199">
        <f t="shared" ca="1" si="19"/>
        <v>0</v>
      </c>
      <c r="K24" s="196"/>
      <c r="L24" s="196"/>
      <c r="M24" s="196"/>
    </row>
    <row r="25" spans="2:13" s="192" customFormat="1" ht="19.5" customHeight="1" x14ac:dyDescent="0.25">
      <c r="B25" s="122" t="s">
        <v>216</v>
      </c>
      <c r="C25" s="122" t="s">
        <v>528</v>
      </c>
      <c r="D25" s="198">
        <f>DT_XK!F3</f>
        <v>3600000</v>
      </c>
      <c r="E25" s="198"/>
      <c r="F25" s="199">
        <f ca="1">SUMIF('NKC-Socai'!I$13:I$527,$B25,'NKC-Socai'!K$13:K$127)</f>
        <v>0</v>
      </c>
      <c r="G25" s="199">
        <f ca="1">SUMIF('NKC-Socai'!J$13:J$527,$B25,'NKC-Socai'!K$13:K$127)</f>
        <v>0</v>
      </c>
      <c r="H25" s="199">
        <f t="shared" ref="H25:H28" ca="1" si="25">MAX(D25+F25-E25-G25,0)</f>
        <v>3600000</v>
      </c>
      <c r="I25" s="199">
        <f t="shared" ref="I25:I28" ca="1" si="26">MAX(E25+G25-D25-F25,0)</f>
        <v>0</v>
      </c>
      <c r="K25" s="196"/>
      <c r="L25" s="196"/>
      <c r="M25" s="196"/>
    </row>
    <row r="26" spans="2:13" s="192" customFormat="1" ht="19.5" customHeight="1" x14ac:dyDescent="0.25">
      <c r="B26" s="122" t="s">
        <v>526</v>
      </c>
      <c r="C26" s="122" t="s">
        <v>529</v>
      </c>
      <c r="D26" s="198">
        <f>DT_XK!F4</f>
        <v>3200000</v>
      </c>
      <c r="E26" s="198"/>
      <c r="F26" s="199">
        <f ca="1">SUMIF('NKC-Socai'!I$13:I$527,$B26,'NKC-Socai'!K$13:K$127)</f>
        <v>0</v>
      </c>
      <c r="G26" s="199">
        <f ca="1">SUMIF('NKC-Socai'!J$13:J$527,$B26,'NKC-Socai'!K$13:K$127)</f>
        <v>0</v>
      </c>
      <c r="H26" s="199">
        <f t="shared" ca="1" si="25"/>
        <v>3200000</v>
      </c>
      <c r="I26" s="199">
        <f t="shared" ca="1" si="26"/>
        <v>0</v>
      </c>
      <c r="K26" s="196"/>
      <c r="L26" s="196"/>
      <c r="M26" s="196"/>
    </row>
    <row r="27" spans="2:13" s="192" customFormat="1" ht="19.5" customHeight="1" x14ac:dyDescent="0.25">
      <c r="B27" s="122" t="s">
        <v>531</v>
      </c>
      <c r="C27" s="122" t="s">
        <v>532</v>
      </c>
      <c r="D27" s="198">
        <f>DT_XK!F5</f>
        <v>2500000</v>
      </c>
      <c r="E27" s="198"/>
      <c r="F27" s="199">
        <f ca="1">SUMIF('NKC-Socai'!I$13:I$527,$B27,'NKC-Socai'!K$13:K$127)</f>
        <v>0</v>
      </c>
      <c r="G27" s="199">
        <f ca="1">SUMIF('NKC-Socai'!J$13:J$527,$B27,'NKC-Socai'!K$13:K$127)</f>
        <v>0</v>
      </c>
      <c r="H27" s="199">
        <f t="shared" ca="1" si="25"/>
        <v>2500000</v>
      </c>
      <c r="I27" s="199">
        <f t="shared" ca="1" si="26"/>
        <v>0</v>
      </c>
      <c r="K27" s="196"/>
      <c r="L27" s="196"/>
      <c r="M27" s="196"/>
    </row>
    <row r="28" spans="2:13" s="192" customFormat="1" ht="19.5" customHeight="1" x14ac:dyDescent="0.25">
      <c r="B28" s="122" t="s">
        <v>533</v>
      </c>
      <c r="C28" s="122" t="s">
        <v>574</v>
      </c>
      <c r="D28" s="198">
        <f>DT_XK!F6</f>
        <v>2000000</v>
      </c>
      <c r="E28" s="198"/>
      <c r="F28" s="199">
        <f ca="1">SUMIF('NKC-Socai'!I$13:I$527,$B28,'NKC-Socai'!K$13:K$127)</f>
        <v>0</v>
      </c>
      <c r="G28" s="199">
        <f ca="1">SUMIF('NKC-Socai'!J$13:J$527,$B28,'NKC-Socai'!K$13:K$127)</f>
        <v>0</v>
      </c>
      <c r="H28" s="199">
        <f t="shared" ca="1" si="25"/>
        <v>2000000</v>
      </c>
      <c r="I28" s="199">
        <f t="shared" ca="1" si="26"/>
        <v>0</v>
      </c>
      <c r="K28" s="196"/>
      <c r="L28" s="196"/>
      <c r="M28" s="196"/>
    </row>
    <row r="29" spans="2:13" s="192" customFormat="1" ht="19.5" customHeight="1" x14ac:dyDescent="0.25">
      <c r="B29" s="200" t="s">
        <v>276</v>
      </c>
      <c r="C29" s="201" t="s">
        <v>275</v>
      </c>
      <c r="D29" s="202"/>
      <c r="E29" s="202"/>
      <c r="F29" s="202">
        <f t="shared" ref="F29:I29" ca="1" si="27">SUBTOTAL(9,F30)</f>
        <v>0</v>
      </c>
      <c r="G29" s="202">
        <f t="shared" ca="1" si="27"/>
        <v>0</v>
      </c>
      <c r="H29" s="202">
        <f t="shared" ca="1" si="27"/>
        <v>0</v>
      </c>
      <c r="I29" s="202">
        <f t="shared" ca="1" si="27"/>
        <v>0</v>
      </c>
      <c r="K29" s="196"/>
      <c r="L29" s="196"/>
      <c r="M29" s="196"/>
    </row>
    <row r="30" spans="2:13" s="192" customFormat="1" ht="19.5" customHeight="1" x14ac:dyDescent="0.25">
      <c r="B30" s="122" t="s">
        <v>332</v>
      </c>
      <c r="C30" s="122" t="s">
        <v>522</v>
      </c>
      <c r="D30" s="198"/>
      <c r="E30" s="198"/>
      <c r="F30" s="199">
        <f ca="1">SUMIF('NKC-Socai'!I$13:I$527,$B30,'NKC-Socai'!K$13:K$127)</f>
        <v>0</v>
      </c>
      <c r="G30" s="199">
        <f ca="1">SUMIF('NKC-Socai'!J$13:J$527,$B30,'NKC-Socai'!K$13:K$127)</f>
        <v>0</v>
      </c>
      <c r="H30" s="199">
        <f t="shared" ref="H30" ca="1" si="28">MAX(D30+F30-E30-G30,0)</f>
        <v>0</v>
      </c>
      <c r="I30" s="199">
        <f t="shared" ref="I30" ca="1" si="29">MAX(E30+G30-D30-F30,0)</f>
        <v>0</v>
      </c>
      <c r="K30" s="196"/>
      <c r="L30" s="196"/>
      <c r="M30" s="196"/>
    </row>
    <row r="31" spans="2:13" s="192" customFormat="1" ht="19.5" customHeight="1" x14ac:dyDescent="0.25">
      <c r="B31" s="200" t="s">
        <v>132</v>
      </c>
      <c r="C31" s="201" t="s">
        <v>192</v>
      </c>
      <c r="D31" s="202">
        <f>SUBTOTAL(9,D32:D33)</f>
        <v>7200000</v>
      </c>
      <c r="E31" s="202"/>
      <c r="F31" s="202">
        <f t="shared" ref="F31:I31" ca="1" si="30">SUBTOTAL(9,F32:F33)</f>
        <v>0</v>
      </c>
      <c r="G31" s="202">
        <f t="shared" ca="1" si="30"/>
        <v>0</v>
      </c>
      <c r="H31" s="202">
        <f t="shared" ca="1" si="30"/>
        <v>7200000</v>
      </c>
      <c r="I31" s="202">
        <f t="shared" ca="1" si="30"/>
        <v>0</v>
      </c>
      <c r="K31" s="196"/>
      <c r="L31" s="196"/>
      <c r="M31" s="196"/>
    </row>
    <row r="32" spans="2:13" s="192" customFormat="1" ht="19.5" customHeight="1" x14ac:dyDescent="0.25">
      <c r="B32" s="122" t="s">
        <v>236</v>
      </c>
      <c r="C32" s="122" t="s">
        <v>606</v>
      </c>
      <c r="D32" s="198">
        <v>7200000</v>
      </c>
      <c r="E32" s="198"/>
      <c r="F32" s="199">
        <f ca="1">SUMIF('NKC-Socai'!I$13:I$527,$B32,'NKC-Socai'!K$13:K$127)</f>
        <v>0</v>
      </c>
      <c r="G32" s="199">
        <f ca="1">SUMIF('NKC-Socai'!J$13:J$527,$B32,'NKC-Socai'!K$13:K$127)</f>
        <v>0</v>
      </c>
      <c r="H32" s="199">
        <f t="shared" ca="1" si="18"/>
        <v>7200000</v>
      </c>
      <c r="I32" s="199">
        <f t="shared" ca="1" si="19"/>
        <v>0</v>
      </c>
      <c r="K32" s="196"/>
      <c r="L32" s="196"/>
      <c r="M32" s="196"/>
    </row>
    <row r="33" spans="2:13" s="192" customFormat="1" ht="19.5" customHeight="1" x14ac:dyDescent="0.25">
      <c r="B33" s="122" t="s">
        <v>217</v>
      </c>
      <c r="C33" s="122" t="s">
        <v>543</v>
      </c>
      <c r="D33" s="198"/>
      <c r="E33" s="198"/>
      <c r="F33" s="199">
        <f ca="1">SUMIF('NKC-Socai'!I$13:I$527,$B33,'NKC-Socai'!K$13:K$127)</f>
        <v>0</v>
      </c>
      <c r="G33" s="199">
        <f ca="1">SUMIF('NKC-Socai'!J$13:J$527,$B33,'NKC-Socai'!K$13:K$127)</f>
        <v>0</v>
      </c>
      <c r="H33" s="199">
        <f t="shared" ca="1" si="18"/>
        <v>0</v>
      </c>
      <c r="I33" s="199">
        <f t="shared" ca="1" si="19"/>
        <v>0</v>
      </c>
      <c r="K33" s="196"/>
      <c r="L33" s="196"/>
      <c r="M33" s="196"/>
    </row>
    <row r="34" spans="2:13" s="192" customFormat="1" ht="19.5" customHeight="1" x14ac:dyDescent="0.25">
      <c r="B34" s="208" t="s">
        <v>133</v>
      </c>
      <c r="C34" s="209" t="s">
        <v>218</v>
      </c>
      <c r="D34" s="195">
        <f>SUBTOTAL(9,D35)</f>
        <v>6542300000</v>
      </c>
      <c r="E34" s="195"/>
      <c r="F34" s="195">
        <f t="shared" ref="F34:I34" ca="1" si="31">SUBTOTAL(9,F35)</f>
        <v>0</v>
      </c>
      <c r="G34" s="195">
        <f t="shared" ca="1" si="31"/>
        <v>0</v>
      </c>
      <c r="H34" s="195">
        <f t="shared" ca="1" si="31"/>
        <v>6542300000</v>
      </c>
      <c r="I34" s="195">
        <f t="shared" ca="1" si="31"/>
        <v>0</v>
      </c>
      <c r="K34" s="196"/>
      <c r="L34" s="196"/>
      <c r="M34" s="196"/>
    </row>
    <row r="35" spans="2:13" s="192" customFormat="1" ht="19.5" customHeight="1" x14ac:dyDescent="0.25">
      <c r="B35" s="122" t="s">
        <v>284</v>
      </c>
      <c r="C35" s="210" t="s">
        <v>286</v>
      </c>
      <c r="D35" s="198">
        <v>6542300000</v>
      </c>
      <c r="E35" s="198"/>
      <c r="F35" s="199">
        <f ca="1">SUMIF('NKC-Socai'!I$13:I$527,$B35,'NKC-Socai'!K$13:K$127)</f>
        <v>0</v>
      </c>
      <c r="G35" s="199">
        <f ca="1">SUMIF('NKC-Socai'!J$13:J$527,$B35,'NKC-Socai'!K$13:K$127)</f>
        <v>0</v>
      </c>
      <c r="H35" s="199">
        <f t="shared" ref="H35" ca="1" si="32">MAX(D35+F35-E35-G35,0)</f>
        <v>6542300000</v>
      </c>
      <c r="I35" s="199">
        <f t="shared" ref="I35" ca="1" si="33">MAX(E35+G35-D35-F35,0)</f>
        <v>0</v>
      </c>
      <c r="K35" s="196"/>
      <c r="L35" s="196"/>
      <c r="M35" s="196"/>
    </row>
    <row r="36" spans="2:13" s="192" customFormat="1" ht="19.5" customHeight="1" x14ac:dyDescent="0.25">
      <c r="B36" s="208" t="s">
        <v>134</v>
      </c>
      <c r="C36" s="209" t="s">
        <v>193</v>
      </c>
      <c r="D36" s="195">
        <f t="shared" ref="D36" si="34">SUBTOTAL(9,D37:D38)</f>
        <v>0</v>
      </c>
      <c r="E36" s="195">
        <f>SUBTOTAL(9,E37:E38)</f>
        <v>1450000000</v>
      </c>
      <c r="F36" s="195">
        <f t="shared" ref="F36:I36" ca="1" si="35">SUBTOTAL(9,F37:F38)</f>
        <v>0</v>
      </c>
      <c r="G36" s="195">
        <f t="shared" ca="1" si="35"/>
        <v>0</v>
      </c>
      <c r="H36" s="195">
        <f t="shared" ca="1" si="35"/>
        <v>0</v>
      </c>
      <c r="I36" s="195">
        <f t="shared" ca="1" si="35"/>
        <v>1450000000</v>
      </c>
      <c r="K36" s="196"/>
      <c r="L36" s="196"/>
      <c r="M36" s="196"/>
    </row>
    <row r="37" spans="2:13" s="192" customFormat="1" ht="19.5" customHeight="1" x14ac:dyDescent="0.25">
      <c r="B37" s="203" t="s">
        <v>285</v>
      </c>
      <c r="C37" s="204" t="s">
        <v>287</v>
      </c>
      <c r="D37" s="207"/>
      <c r="E37" s="207">
        <f>SUBTOTAL(9,E38)</f>
        <v>1450000000</v>
      </c>
      <c r="F37" s="207">
        <f t="shared" ref="F37:I37" ca="1" si="36">SUBTOTAL(9,F38)</f>
        <v>0</v>
      </c>
      <c r="G37" s="207">
        <f t="shared" ca="1" si="36"/>
        <v>0</v>
      </c>
      <c r="H37" s="207">
        <f t="shared" ca="1" si="36"/>
        <v>0</v>
      </c>
      <c r="I37" s="207">
        <f t="shared" ca="1" si="36"/>
        <v>1450000000</v>
      </c>
      <c r="K37" s="196"/>
      <c r="L37" s="196"/>
      <c r="M37" s="196"/>
    </row>
    <row r="38" spans="2:13" s="192" customFormat="1" ht="19.5" customHeight="1" x14ac:dyDescent="0.25">
      <c r="B38" s="122" t="s">
        <v>319</v>
      </c>
      <c r="C38" s="210" t="s">
        <v>320</v>
      </c>
      <c r="D38" s="198"/>
      <c r="E38" s="198">
        <v>1450000000</v>
      </c>
      <c r="F38" s="199">
        <f ca="1">SUMIF('NKC-Socai'!I$13:I$527,$B38,'NKC-Socai'!K$13:K$127)</f>
        <v>0</v>
      </c>
      <c r="G38" s="199">
        <f ca="1">SUMIF('NKC-Socai'!J$13:J$527,$B38,'NKC-Socai'!K$13:K$127)</f>
        <v>0</v>
      </c>
      <c r="H38" s="199">
        <f t="shared" ca="1" si="18"/>
        <v>0</v>
      </c>
      <c r="I38" s="199">
        <f t="shared" ca="1" si="19"/>
        <v>1450000000</v>
      </c>
      <c r="K38" s="196"/>
      <c r="L38" s="196"/>
      <c r="M38" s="196"/>
    </row>
    <row r="39" spans="2:13" s="192" customFormat="1" ht="19.5" customHeight="1" x14ac:dyDescent="0.25">
      <c r="B39" s="208" t="s">
        <v>288</v>
      </c>
      <c r="C39" s="209" t="s">
        <v>337</v>
      </c>
      <c r="D39" s="195">
        <f t="shared" ref="D39:E39" si="37">SUBTOTAL(9,D40:D41)</f>
        <v>155000000</v>
      </c>
      <c r="E39" s="195">
        <f t="shared" si="37"/>
        <v>0</v>
      </c>
      <c r="F39" s="195">
        <f ca="1">SUBTOTAL(9,F40:F41)</f>
        <v>0</v>
      </c>
      <c r="G39" s="195">
        <f t="shared" ref="G39:I39" ca="1" si="38">SUBTOTAL(9,G40:G41)</f>
        <v>0</v>
      </c>
      <c r="H39" s="195">
        <f t="shared" ca="1" si="38"/>
        <v>155000000</v>
      </c>
      <c r="I39" s="195">
        <f t="shared" ca="1" si="38"/>
        <v>0</v>
      </c>
      <c r="K39" s="196"/>
      <c r="L39" s="196"/>
      <c r="M39" s="196"/>
    </row>
    <row r="40" spans="2:13" s="192" customFormat="1" ht="19.5" customHeight="1" x14ac:dyDescent="0.25">
      <c r="B40" s="122" t="s">
        <v>330</v>
      </c>
      <c r="C40" s="210" t="s">
        <v>491</v>
      </c>
      <c r="D40" s="198"/>
      <c r="E40" s="198"/>
      <c r="F40" s="199">
        <f ca="1">SUMIF('NKC-Socai'!I$13:I$527,$B40,'NKC-Socai'!K$13:K$127)</f>
        <v>0</v>
      </c>
      <c r="G40" s="199">
        <f ca="1">SUMIF('NKC-Socai'!J$13:J$527,$B40,'NKC-Socai'!K$13:K$127)</f>
        <v>0</v>
      </c>
      <c r="H40" s="199">
        <f t="shared" ref="H40" ca="1" si="39">MAX(D40+F40-E40-G40,0)</f>
        <v>0</v>
      </c>
      <c r="I40" s="199">
        <f t="shared" ref="I40" ca="1" si="40">MAX(E40+G40-D40-F40,0)</f>
        <v>0</v>
      </c>
      <c r="K40" s="196"/>
      <c r="L40" s="196"/>
      <c r="M40" s="196"/>
    </row>
    <row r="41" spans="2:13" s="192" customFormat="1" ht="19.5" customHeight="1" x14ac:dyDescent="0.25">
      <c r="B41" s="122" t="s">
        <v>492</v>
      </c>
      <c r="C41" s="210" t="s">
        <v>490</v>
      </c>
      <c r="D41" s="198">
        <v>155000000</v>
      </c>
      <c r="E41" s="198"/>
      <c r="F41" s="199">
        <f ca="1">SUMIF('NKC-Socai'!I$13:I$527,$B41,'NKC-Socai'!K$13:K$127)</f>
        <v>0</v>
      </c>
      <c r="G41" s="199">
        <f ca="1">SUMIF('NKC-Socai'!J$13:J$527,$B41,'NKC-Socai'!K$13:K$127)</f>
        <v>0</v>
      </c>
      <c r="H41" s="199">
        <f t="shared" ref="H41" ca="1" si="41">MAX(D41+F41-E41-G41,0)</f>
        <v>155000000</v>
      </c>
      <c r="I41" s="199">
        <f t="shared" ref="I41" ca="1" si="42">MAX(E41+G41-D41-F41,0)</f>
        <v>0</v>
      </c>
      <c r="K41" s="196"/>
      <c r="L41" s="196"/>
      <c r="M41" s="196"/>
    </row>
    <row r="42" spans="2:13" s="192" customFormat="1" ht="19.5" customHeight="1" x14ac:dyDescent="0.25">
      <c r="B42" s="208" t="s">
        <v>328</v>
      </c>
      <c r="C42" s="209" t="s">
        <v>329</v>
      </c>
      <c r="D42" s="195"/>
      <c r="E42" s="195"/>
      <c r="F42" s="199">
        <f ca="1">SUMIF('NKC-Socai'!I$13:I$527,$B42,'NKC-Socai'!K$13:K$127)</f>
        <v>0</v>
      </c>
      <c r="G42" s="199">
        <f ca="1">SUMIF('NKC-Socai'!J$13:J$527,$B42,'NKC-Socai'!K$13:K$127)</f>
        <v>0</v>
      </c>
      <c r="H42" s="199">
        <f t="shared" ref="H42" ca="1" si="43">MAX(D42+F42-E42-G42,0)</f>
        <v>0</v>
      </c>
      <c r="I42" s="199">
        <f t="shared" ref="I42" ca="1" si="44">MAX(E42+G42-D42-F42,0)</f>
        <v>0</v>
      </c>
      <c r="K42" s="196"/>
      <c r="L42" s="196"/>
      <c r="M42" s="196"/>
    </row>
    <row r="43" spans="2:13" s="192" customFormat="1" ht="19.5" customHeight="1" x14ac:dyDescent="0.25">
      <c r="B43" s="200" t="s">
        <v>135</v>
      </c>
      <c r="C43" s="201" t="s">
        <v>194</v>
      </c>
      <c r="D43" s="202"/>
      <c r="E43" s="202">
        <f>SUBTOTAL(9,E44:E48)</f>
        <v>1450000000</v>
      </c>
      <c r="F43" s="202">
        <f ca="1">SUBTOTAL(9,F44:F48)</f>
        <v>0</v>
      </c>
      <c r="G43" s="202">
        <f ca="1">SUBTOTAL(9,G44:G48)</f>
        <v>0</v>
      </c>
      <c r="H43" s="202">
        <f ca="1">SUBTOTAL(9,H44:H48)</f>
        <v>0</v>
      </c>
      <c r="I43" s="202">
        <f ca="1">SUBTOTAL(9,I44:I48)</f>
        <v>1450000000</v>
      </c>
      <c r="K43" s="196"/>
      <c r="L43" s="196"/>
      <c r="M43" s="196"/>
    </row>
    <row r="44" spans="2:13" s="192" customFormat="1" ht="19.5" customHeight="1" x14ac:dyDescent="0.25">
      <c r="B44" s="122" t="s">
        <v>433</v>
      </c>
      <c r="C44" s="122" t="s">
        <v>545</v>
      </c>
      <c r="D44" s="198"/>
      <c r="E44" s="198">
        <v>250000000</v>
      </c>
      <c r="F44" s="199">
        <f ca="1">SUMIF('NKC-Socai'!I$13:I$527,$B44,'NKC-Socai'!K$13:K$127)</f>
        <v>0</v>
      </c>
      <c r="G44" s="199">
        <f ca="1">SUMIF('NKC-Socai'!J$13:J$527,$B44,'NKC-Socai'!K$13:K$127)</f>
        <v>0</v>
      </c>
      <c r="H44" s="199">
        <f t="shared" ref="H44" ca="1" si="45">MAX(D44+F44-E44-G44,0)</f>
        <v>0</v>
      </c>
      <c r="I44" s="199">
        <f t="shared" ref="I44" ca="1" si="46">MAX(E44+G44-D44-F44,0)</f>
        <v>250000000</v>
      </c>
      <c r="K44" s="196"/>
      <c r="L44" s="196"/>
      <c r="M44" s="196"/>
    </row>
    <row r="45" spans="2:13" s="192" customFormat="1" ht="19.5" customHeight="1" x14ac:dyDescent="0.25">
      <c r="B45" s="122" t="s">
        <v>211</v>
      </c>
      <c r="C45" s="122" t="s">
        <v>546</v>
      </c>
      <c r="D45" s="198"/>
      <c r="E45" s="198">
        <v>1200000000</v>
      </c>
      <c r="F45" s="199">
        <f ca="1">SUMIF('NKC-Socai'!I$13:I$527,$B45,'NKC-Socai'!K$13:K$127)</f>
        <v>0</v>
      </c>
      <c r="G45" s="199">
        <f ca="1">SUMIF('NKC-Socai'!J$13:J$527,$B45,'NKC-Socai'!K$13:K$127)</f>
        <v>0</v>
      </c>
      <c r="H45" s="199">
        <f t="shared" ref="H45" ca="1" si="47">MAX(D45+F45-E45-G45,0)</f>
        <v>0</v>
      </c>
      <c r="I45" s="199">
        <f t="shared" ref="I45" ca="1" si="48">MAX(E45+G45-D45-F45,0)</f>
        <v>1200000000</v>
      </c>
      <c r="K45" s="196"/>
      <c r="L45" s="196"/>
      <c r="M45" s="196"/>
    </row>
    <row r="46" spans="2:13" s="192" customFormat="1" ht="19.5" customHeight="1" x14ac:dyDescent="0.25">
      <c r="B46" s="122" t="s">
        <v>281</v>
      </c>
      <c r="C46" s="122" t="s">
        <v>519</v>
      </c>
      <c r="D46" s="198"/>
      <c r="E46" s="198"/>
      <c r="F46" s="199">
        <f ca="1">SUMIF('NKC-Socai'!I$13:I$527,$B46,'NKC-Socai'!K$13:K$127)</f>
        <v>0</v>
      </c>
      <c r="G46" s="199">
        <f ca="1">SUMIF('NKC-Socai'!J$13:J$527,$B46,'NKC-Socai'!K$13:K$127)</f>
        <v>0</v>
      </c>
      <c r="H46" s="199">
        <f t="shared" ref="H46:H48" ca="1" si="49">MAX(D46+F46-E46-G46,0)</f>
        <v>0</v>
      </c>
      <c r="I46" s="199">
        <f t="shared" ref="I46:I48" ca="1" si="50">MAX(E46+G46-D46-F46,0)</f>
        <v>0</v>
      </c>
      <c r="K46" s="196"/>
      <c r="L46" s="196"/>
      <c r="M46" s="196"/>
    </row>
    <row r="47" spans="2:13" s="192" customFormat="1" ht="19.5" customHeight="1" x14ac:dyDescent="0.25">
      <c r="B47" s="122" t="s">
        <v>318</v>
      </c>
      <c r="C47" s="122" t="s">
        <v>434</v>
      </c>
      <c r="D47" s="198"/>
      <c r="E47" s="198"/>
      <c r="F47" s="199">
        <f ca="1">SUMIF('NKC-Socai'!I$13:I$527,$B47,'NKC-Socai'!K$13:K$127)</f>
        <v>0</v>
      </c>
      <c r="G47" s="199">
        <f ca="1">SUMIF('NKC-Socai'!J$13:J$527,$B47,'NKC-Socai'!K$13:K$127)</f>
        <v>0</v>
      </c>
      <c r="H47" s="199">
        <f t="shared" ca="1" si="49"/>
        <v>0</v>
      </c>
      <c r="I47" s="199">
        <f t="shared" ca="1" si="50"/>
        <v>0</v>
      </c>
      <c r="K47" s="196"/>
      <c r="L47" s="196"/>
      <c r="M47" s="196"/>
    </row>
    <row r="48" spans="2:13" s="192" customFormat="1" ht="19.5" customHeight="1" x14ac:dyDescent="0.25">
      <c r="B48" s="122" t="s">
        <v>440</v>
      </c>
      <c r="C48" s="122" t="s">
        <v>462</v>
      </c>
      <c r="D48" s="198"/>
      <c r="E48" s="198"/>
      <c r="F48" s="199">
        <f ca="1">SUMIF('NKC-Socai'!I$13:I$527,$B48,'NKC-Socai'!K$13:K$127)</f>
        <v>0</v>
      </c>
      <c r="G48" s="199">
        <f ca="1">SUMIF('NKC-Socai'!J$13:J$527,$B48,'NKC-Socai'!K$13:K$127)</f>
        <v>0</v>
      </c>
      <c r="H48" s="199">
        <f t="shared" ca="1" si="49"/>
        <v>0</v>
      </c>
      <c r="I48" s="199">
        <f t="shared" ca="1" si="50"/>
        <v>0</v>
      </c>
      <c r="K48" s="196"/>
      <c r="L48" s="196"/>
      <c r="M48" s="196"/>
    </row>
    <row r="49" spans="2:13" s="192" customFormat="1" ht="19.5" customHeight="1" x14ac:dyDescent="0.25">
      <c r="B49" s="200" t="s">
        <v>183</v>
      </c>
      <c r="C49" s="201" t="s">
        <v>195</v>
      </c>
      <c r="D49" s="206"/>
      <c r="E49" s="206">
        <f>SUBTOTAL(9,E50:E53)</f>
        <v>80000000</v>
      </c>
      <c r="F49" s="206">
        <f t="shared" ref="F49:I49" ca="1" si="51">SUBTOTAL(9,F50:F53)</f>
        <v>0</v>
      </c>
      <c r="G49" s="206">
        <f t="shared" ca="1" si="51"/>
        <v>0</v>
      </c>
      <c r="H49" s="206">
        <f t="shared" ca="1" si="51"/>
        <v>0</v>
      </c>
      <c r="I49" s="206">
        <f t="shared" ca="1" si="51"/>
        <v>80000000</v>
      </c>
      <c r="K49" s="196"/>
      <c r="L49" s="196"/>
      <c r="M49" s="196"/>
    </row>
    <row r="50" spans="2:13" s="192" customFormat="1" ht="19.5" customHeight="1" x14ac:dyDescent="0.25">
      <c r="B50" s="122" t="s">
        <v>186</v>
      </c>
      <c r="C50" s="122" t="s">
        <v>219</v>
      </c>
      <c r="D50" s="198"/>
      <c r="E50" s="198">
        <v>60000000</v>
      </c>
      <c r="F50" s="199">
        <f ca="1">SUMIF('NKC-Socai'!I$13:I$527,$B50,'NKC-Socai'!K$13:K$127)</f>
        <v>0</v>
      </c>
      <c r="G50" s="199">
        <f ca="1">SUMIF('NKC-Socai'!J$13:J$527,$B50,'NKC-Socai'!K$13:K$127)</f>
        <v>0</v>
      </c>
      <c r="H50" s="199">
        <f t="shared" ca="1" si="18"/>
        <v>0</v>
      </c>
      <c r="I50" s="199">
        <f t="shared" ca="1" si="19"/>
        <v>60000000</v>
      </c>
      <c r="K50" s="196"/>
      <c r="L50" s="196"/>
      <c r="M50" s="196"/>
    </row>
    <row r="51" spans="2:13" s="192" customFormat="1" ht="19.5" customHeight="1" x14ac:dyDescent="0.25">
      <c r="B51" s="122" t="s">
        <v>289</v>
      </c>
      <c r="C51" s="122" t="s">
        <v>290</v>
      </c>
      <c r="D51" s="198"/>
      <c r="E51" s="198"/>
      <c r="F51" s="199">
        <f ca="1">SUMIF('NKC-Socai'!I$13:I$527,$B51,'NKC-Socai'!K$13:K$127)</f>
        <v>0</v>
      </c>
      <c r="G51" s="199">
        <f ca="1">SUMIF('NKC-Socai'!J$13:J$527,$B51,'NKC-Socai'!K$13:K$127)</f>
        <v>0</v>
      </c>
      <c r="H51" s="199">
        <f t="shared" ref="H51" ca="1" si="52">MAX(D51+F51-E51-G51,0)</f>
        <v>0</v>
      </c>
      <c r="I51" s="199">
        <f t="shared" ref="I51" ca="1" si="53">MAX(E51+G51-D51-F51,0)</f>
        <v>0</v>
      </c>
      <c r="K51" s="196"/>
      <c r="L51" s="196"/>
      <c r="M51" s="196"/>
    </row>
    <row r="52" spans="2:13" s="192" customFormat="1" ht="19.5" customHeight="1" x14ac:dyDescent="0.25">
      <c r="B52" s="122" t="s">
        <v>196</v>
      </c>
      <c r="C52" s="122" t="s">
        <v>214</v>
      </c>
      <c r="D52" s="198"/>
      <c r="E52" s="198">
        <v>20000000</v>
      </c>
      <c r="F52" s="199">
        <f ca="1">SUMIF('NKC-Socai'!I$13:I$527,$B52,'NKC-Socai'!K$13:K$127)</f>
        <v>0</v>
      </c>
      <c r="G52" s="199">
        <f ca="1">SUMIF('NKC-Socai'!J$13:J$527,$B52,'NKC-Socai'!K$13:K$127)</f>
        <v>0</v>
      </c>
      <c r="H52" s="199">
        <f t="shared" ca="1" si="18"/>
        <v>0</v>
      </c>
      <c r="I52" s="199">
        <f t="shared" ca="1" si="19"/>
        <v>20000000</v>
      </c>
      <c r="K52" s="196"/>
      <c r="L52" s="196"/>
      <c r="M52" s="196"/>
    </row>
    <row r="53" spans="2:13" s="192" customFormat="1" ht="19.5" customHeight="1" x14ac:dyDescent="0.25">
      <c r="B53" s="122" t="s">
        <v>212</v>
      </c>
      <c r="C53" s="122" t="s">
        <v>213</v>
      </c>
      <c r="D53" s="198"/>
      <c r="E53" s="198"/>
      <c r="F53" s="199">
        <f ca="1">SUMIF('NKC-Socai'!I$13:I$527,$B53,'NKC-Socai'!K$13:K$127)</f>
        <v>0</v>
      </c>
      <c r="G53" s="199">
        <f ca="1">SUMIF('NKC-Socai'!J$13:J$527,$B53,'NKC-Socai'!K$13:K$127)</f>
        <v>0</v>
      </c>
      <c r="H53" s="199">
        <f t="shared" ref="H53" ca="1" si="54">MAX(D53+F53-E53-G53,0)</f>
        <v>0</v>
      </c>
      <c r="I53" s="199">
        <f t="shared" ref="I53" ca="1" si="55">MAX(E53+G53-D53-F53,0)</f>
        <v>0</v>
      </c>
      <c r="K53" s="196"/>
      <c r="L53" s="196"/>
      <c r="M53" s="196"/>
    </row>
    <row r="54" spans="2:13" s="192" customFormat="1" ht="19.5" customHeight="1" x14ac:dyDescent="0.25">
      <c r="B54" s="200" t="s">
        <v>136</v>
      </c>
      <c r="C54" s="201" t="s">
        <v>197</v>
      </c>
      <c r="D54" s="206"/>
      <c r="E54" s="206"/>
      <c r="F54" s="206">
        <f t="shared" ref="F54" ca="1" si="56">SUBTOTAL(9,F55)</f>
        <v>0</v>
      </c>
      <c r="G54" s="206">
        <f t="shared" ref="G54" ca="1" si="57">SUBTOTAL(9,G55)</f>
        <v>0</v>
      </c>
      <c r="H54" s="206">
        <f t="shared" ref="H54" ca="1" si="58">SUBTOTAL(9,H55)</f>
        <v>0</v>
      </c>
      <c r="I54" s="206">
        <f t="shared" ref="I54" ca="1" si="59">SUBTOTAL(9,I55)</f>
        <v>0</v>
      </c>
      <c r="K54" s="196"/>
      <c r="L54" s="196"/>
      <c r="M54" s="196"/>
    </row>
    <row r="55" spans="2:13" s="192" customFormat="1" ht="19.5" customHeight="1" x14ac:dyDescent="0.25">
      <c r="B55" s="122" t="s">
        <v>220</v>
      </c>
      <c r="C55" s="122" t="s">
        <v>221</v>
      </c>
      <c r="D55" s="198"/>
      <c r="E55" s="198"/>
      <c r="F55" s="199">
        <f ca="1">SUMIF('NKC-Socai'!I$13:I$527,$B55,'NKC-Socai'!K$13:K$127)</f>
        <v>0</v>
      </c>
      <c r="G55" s="199">
        <f ca="1">SUMIF('NKC-Socai'!J$13:J$527,$B55,'NKC-Socai'!K$13:K$127)</f>
        <v>0</v>
      </c>
      <c r="H55" s="199">
        <f t="shared" ca="1" si="18"/>
        <v>0</v>
      </c>
      <c r="I55" s="199">
        <f t="shared" ca="1" si="19"/>
        <v>0</v>
      </c>
      <c r="K55" s="196"/>
      <c r="L55" s="196"/>
      <c r="M55" s="196"/>
    </row>
    <row r="56" spans="2:13" ht="19.5" customHeight="1" x14ac:dyDescent="0.25">
      <c r="B56" s="200" t="s">
        <v>184</v>
      </c>
      <c r="C56" s="201" t="s">
        <v>607</v>
      </c>
      <c r="D56" s="206"/>
      <c r="E56" s="206">
        <f>SUBTOTAL(9,E57:E60)</f>
        <v>60000000</v>
      </c>
      <c r="F56" s="206">
        <f t="shared" ref="F56:I56" ca="1" si="60">SUBTOTAL(9,F57:F60)</f>
        <v>0</v>
      </c>
      <c r="G56" s="206">
        <f t="shared" ca="1" si="60"/>
        <v>0</v>
      </c>
      <c r="H56" s="206">
        <f t="shared" ca="1" si="60"/>
        <v>0</v>
      </c>
      <c r="I56" s="206">
        <f t="shared" ca="1" si="60"/>
        <v>60000000</v>
      </c>
    </row>
    <row r="57" spans="2:13" ht="19.5" customHeight="1" x14ac:dyDescent="0.25">
      <c r="B57" s="122" t="s">
        <v>576</v>
      </c>
      <c r="C57" s="122" t="s">
        <v>577</v>
      </c>
      <c r="D57" s="206"/>
      <c r="E57" s="198">
        <v>40000000</v>
      </c>
      <c r="F57" s="199">
        <f ca="1">SUMIF('NKC-Socai'!I$13:I$527,$B57,'NKC-Socai'!K$13:K$127)</f>
        <v>0</v>
      </c>
      <c r="G57" s="199">
        <f ca="1">SUMIF('NKC-Socai'!J$13:J$527,$B57,'NKC-Socai'!K$13:K$127)</f>
        <v>0</v>
      </c>
      <c r="H57" s="199">
        <f t="shared" ref="H57:H60" ca="1" si="61">MAX(D57+F57-E57-G57,0)</f>
        <v>0</v>
      </c>
      <c r="I57" s="199">
        <f t="shared" ref="I57:I60" ca="1" si="62">MAX(E57+G57-D57-F57,0)</f>
        <v>40000000</v>
      </c>
    </row>
    <row r="58" spans="2:13" ht="19.5" customHeight="1" x14ac:dyDescent="0.25">
      <c r="B58" s="122" t="s">
        <v>578</v>
      </c>
      <c r="C58" s="122" t="s">
        <v>579</v>
      </c>
      <c r="D58" s="206"/>
      <c r="E58" s="198"/>
      <c r="F58" s="199">
        <f ca="1">SUMIF('NKC-Socai'!I$13:I$527,$B58,'NKC-Socai'!K$13:K$127)</f>
        <v>0</v>
      </c>
      <c r="G58" s="199">
        <f ca="1">SUMIF('NKC-Socai'!J$13:J$527,$B58,'NKC-Socai'!K$13:K$127)</f>
        <v>0</v>
      </c>
      <c r="H58" s="199">
        <f t="shared" ca="1" si="61"/>
        <v>0</v>
      </c>
      <c r="I58" s="199">
        <f t="shared" ca="1" si="62"/>
        <v>0</v>
      </c>
    </row>
    <row r="59" spans="2:13" ht="19.5" customHeight="1" x14ac:dyDescent="0.25">
      <c r="B59" s="122" t="s">
        <v>580</v>
      </c>
      <c r="C59" s="122" t="s">
        <v>581</v>
      </c>
      <c r="D59" s="206"/>
      <c r="E59" s="198">
        <v>20000000</v>
      </c>
      <c r="F59" s="199">
        <f ca="1">SUMIF('NKC-Socai'!I$13:I$527,$B59,'NKC-Socai'!K$13:K$127)</f>
        <v>0</v>
      </c>
      <c r="G59" s="199">
        <f ca="1">SUMIF('NKC-Socai'!J$13:J$527,$B59,'NKC-Socai'!K$13:K$127)</f>
        <v>0</v>
      </c>
      <c r="H59" s="199">
        <f t="shared" ca="1" si="61"/>
        <v>0</v>
      </c>
      <c r="I59" s="199">
        <f t="shared" ca="1" si="62"/>
        <v>20000000</v>
      </c>
    </row>
    <row r="60" spans="2:13" ht="19.5" customHeight="1" x14ac:dyDescent="0.25">
      <c r="B60" s="122" t="s">
        <v>582</v>
      </c>
      <c r="C60" s="122" t="s">
        <v>583</v>
      </c>
      <c r="D60" s="206"/>
      <c r="E60" s="198"/>
      <c r="F60" s="199">
        <f ca="1">SUMIF('NKC-Socai'!I$13:I$527,$B60,'NKC-Socai'!K$13:K$127)</f>
        <v>0</v>
      </c>
      <c r="G60" s="199">
        <f ca="1">SUMIF('NKC-Socai'!J$13:J$527,$B60,'NKC-Socai'!K$13:K$127)</f>
        <v>0</v>
      </c>
      <c r="H60" s="199">
        <f t="shared" ca="1" si="61"/>
        <v>0</v>
      </c>
      <c r="I60" s="199">
        <f t="shared" ca="1" si="62"/>
        <v>0</v>
      </c>
    </row>
    <row r="61" spans="2:13" s="192" customFormat="1" ht="19.5" customHeight="1" x14ac:dyDescent="0.25">
      <c r="B61" s="200" t="s">
        <v>339</v>
      </c>
      <c r="C61" s="201" t="s">
        <v>338</v>
      </c>
      <c r="D61" s="202"/>
      <c r="E61" s="202">
        <f>SUBTOTAL(9,E62)</f>
        <v>2000000000</v>
      </c>
      <c r="F61" s="202">
        <f t="shared" ref="F61:I61" ca="1" si="63">SUBTOTAL(9,F62)</f>
        <v>0</v>
      </c>
      <c r="G61" s="202">
        <f t="shared" ca="1" si="63"/>
        <v>0</v>
      </c>
      <c r="H61" s="202">
        <f t="shared" ca="1" si="63"/>
        <v>0</v>
      </c>
      <c r="I61" s="202">
        <f t="shared" ca="1" si="63"/>
        <v>2000000000</v>
      </c>
      <c r="K61" s="196"/>
      <c r="L61" s="196"/>
      <c r="M61" s="196"/>
    </row>
    <row r="62" spans="2:13" s="192" customFormat="1" ht="19.5" customHeight="1" x14ac:dyDescent="0.25">
      <c r="B62" s="122" t="s">
        <v>340</v>
      </c>
      <c r="C62" s="122" t="s">
        <v>569</v>
      </c>
      <c r="D62" s="198"/>
      <c r="E62" s="198">
        <v>2000000000</v>
      </c>
      <c r="F62" s="199">
        <f ca="1">SUMIF('NKC-Socai'!I$13:I$527,$B62,'NKC-Socai'!K$13:K$127)</f>
        <v>0</v>
      </c>
      <c r="G62" s="199">
        <f ca="1">SUMIF('NKC-Socai'!J$13:J$527,$B62,'NKC-Socai'!K$13:K$127)</f>
        <v>0</v>
      </c>
      <c r="H62" s="199">
        <f t="shared" ref="H62" ca="1" si="64">MAX(D62+F62-E62-G62,0)</f>
        <v>0</v>
      </c>
      <c r="I62" s="199">
        <f t="shared" ref="I62" ca="1" si="65">MAX(E62+G62-D62-F62,0)</f>
        <v>2000000000</v>
      </c>
      <c r="K62" s="196"/>
      <c r="L62" s="196"/>
      <c r="M62" s="196"/>
    </row>
    <row r="63" spans="2:13" ht="19.5" customHeight="1" x14ac:dyDescent="0.25">
      <c r="B63" s="200" t="s">
        <v>0</v>
      </c>
      <c r="C63" s="201" t="s">
        <v>198</v>
      </c>
      <c r="D63" s="206"/>
      <c r="E63" s="206">
        <f>SUBTOTAL(9,E64)</f>
        <v>2487050000</v>
      </c>
      <c r="F63" s="206">
        <f t="shared" ref="F63" ca="1" si="66">SUBTOTAL(9,F64)</f>
        <v>0</v>
      </c>
      <c r="G63" s="206">
        <f t="shared" ref="G63" ca="1" si="67">SUBTOTAL(9,G64)</f>
        <v>0</v>
      </c>
      <c r="H63" s="206">
        <f t="shared" ref="H63" ca="1" si="68">SUBTOTAL(9,H64)</f>
        <v>0</v>
      </c>
      <c r="I63" s="206">
        <f t="shared" ref="I63" ca="1" si="69">SUBTOTAL(9,I64)</f>
        <v>2487050000</v>
      </c>
    </row>
    <row r="64" spans="2:13" ht="19.5" customHeight="1" x14ac:dyDescent="0.25">
      <c r="B64" s="122" t="s">
        <v>222</v>
      </c>
      <c r="C64" s="122" t="s">
        <v>223</v>
      </c>
      <c r="D64" s="198"/>
      <c r="E64" s="198">
        <f>1872100000+614950000</f>
        <v>2487050000</v>
      </c>
      <c r="F64" s="199">
        <f ca="1">SUMIF('NKC-Socai'!I$13:I$527,$B64,'NKC-Socai'!K$13:K$127)</f>
        <v>0</v>
      </c>
      <c r="G64" s="199">
        <f ca="1">SUMIF('NKC-Socai'!J$13:J$527,$B64,'NKC-Socai'!K$13:K$127)</f>
        <v>0</v>
      </c>
      <c r="H64" s="199">
        <f t="shared" ref="H64" ca="1" si="70">MAX(D64+F64-E64-G64,0)</f>
        <v>0</v>
      </c>
      <c r="I64" s="199">
        <f t="shared" ref="I64" ca="1" si="71">MAX(E64+G64-D64-F64,0)</f>
        <v>2487050000</v>
      </c>
    </row>
    <row r="65" spans="2:13" s="192" customFormat="1" ht="19.5" customHeight="1" x14ac:dyDescent="0.25">
      <c r="B65" s="200" t="s">
        <v>427</v>
      </c>
      <c r="C65" s="201" t="s">
        <v>428</v>
      </c>
      <c r="D65" s="202"/>
      <c r="E65" s="202">
        <v>150000000</v>
      </c>
      <c r="F65" s="206">
        <f ca="1">SUMIF('NKC-Socai'!I$13:I$527,$B65,'NKC-Socai'!K$13:K$127)</f>
        <v>0</v>
      </c>
      <c r="G65" s="206">
        <f ca="1">SUMIF('NKC-Socai'!J$13:J$527,$B65,'NKC-Socai'!K$13:K$127)</f>
        <v>0</v>
      </c>
      <c r="H65" s="206">
        <f t="shared" ca="1" si="18"/>
        <v>0</v>
      </c>
      <c r="I65" s="206">
        <f t="shared" ca="1" si="19"/>
        <v>150000000</v>
      </c>
      <c r="K65" s="196"/>
      <c r="L65" s="196"/>
      <c r="M65" s="196"/>
    </row>
    <row r="66" spans="2:13" s="192" customFormat="1" ht="19.5" customHeight="1" x14ac:dyDescent="0.25">
      <c r="B66" s="200" t="s">
        <v>137</v>
      </c>
      <c r="C66" s="201" t="s">
        <v>347</v>
      </c>
      <c r="D66" s="206"/>
      <c r="E66" s="206">
        <f>SUBTOTAL(9,E68:E70)</f>
        <v>70000000</v>
      </c>
      <c r="F66" s="206">
        <f t="shared" ref="F66:I66" ca="1" si="72">SUBTOTAL(9,F68:F70)</f>
        <v>0</v>
      </c>
      <c r="G66" s="206">
        <f t="shared" ca="1" si="72"/>
        <v>0</v>
      </c>
      <c r="H66" s="206">
        <f t="shared" ca="1" si="72"/>
        <v>0</v>
      </c>
      <c r="I66" s="206">
        <f t="shared" ca="1" si="72"/>
        <v>70000000</v>
      </c>
      <c r="K66" s="196"/>
      <c r="L66" s="196"/>
      <c r="M66" s="196"/>
    </row>
    <row r="67" spans="2:13" s="192" customFormat="1" ht="19.5" customHeight="1" x14ac:dyDescent="0.25">
      <c r="B67" s="203" t="s">
        <v>350</v>
      </c>
      <c r="C67" s="204" t="s">
        <v>348</v>
      </c>
      <c r="D67" s="206"/>
      <c r="E67" s="207">
        <v>600000000</v>
      </c>
      <c r="F67" s="207">
        <f ca="1">SUMIF('NKC-Socai'!I$13:I$527,$B67,'NKC-Socai'!K$13:K$127)</f>
        <v>0</v>
      </c>
      <c r="G67" s="207">
        <f ca="1">SUMIF('NKC-Socai'!J$13:J$527,$B67,'NKC-Socai'!K$13:K$127)</f>
        <v>0</v>
      </c>
      <c r="H67" s="207">
        <f ca="1">MAX(D67+F67-E67-G67,0)</f>
        <v>0</v>
      </c>
      <c r="I67" s="207">
        <f ca="1">MAX(E67+G67-D67-F67,0)</f>
        <v>600000000</v>
      </c>
      <c r="K67" s="196"/>
      <c r="L67" s="196"/>
      <c r="M67" s="196"/>
    </row>
    <row r="68" spans="2:13" s="192" customFormat="1" ht="19.5" customHeight="1" x14ac:dyDescent="0.25">
      <c r="B68" s="203" t="s">
        <v>224</v>
      </c>
      <c r="C68" s="204" t="s">
        <v>349</v>
      </c>
      <c r="D68" s="207"/>
      <c r="E68" s="207">
        <f t="shared" ref="E68:I68" si="73">SUBTOTAL(9,E69)</f>
        <v>70000000</v>
      </c>
      <c r="F68" s="207">
        <f t="shared" ca="1" si="73"/>
        <v>0</v>
      </c>
      <c r="G68" s="207">
        <f t="shared" ca="1" si="73"/>
        <v>0</v>
      </c>
      <c r="H68" s="207">
        <f t="shared" ca="1" si="73"/>
        <v>0</v>
      </c>
      <c r="I68" s="207">
        <f t="shared" ca="1" si="73"/>
        <v>70000000</v>
      </c>
      <c r="K68" s="196"/>
      <c r="L68" s="196"/>
      <c r="M68" s="196"/>
    </row>
    <row r="69" spans="2:13" s="192" customFormat="1" ht="19.5" customHeight="1" x14ac:dyDescent="0.25">
      <c r="B69" s="122" t="s">
        <v>331</v>
      </c>
      <c r="C69" s="197" t="s">
        <v>435</v>
      </c>
      <c r="D69" s="198"/>
      <c r="E69" s="198">
        <v>70000000</v>
      </c>
      <c r="F69" s="199">
        <f ca="1">SUMIF('NKC-Socai'!I$13:I$527,$B69,'NKC-Socai'!K$13:K$127)</f>
        <v>0</v>
      </c>
      <c r="G69" s="199">
        <f ca="1">SUMIF('NKC-Socai'!J$13:J$527,$B69,'NKC-Socai'!K$13:K$127)</f>
        <v>0</v>
      </c>
      <c r="H69" s="199">
        <f ca="1">MAX(D69+F69-E69-G69,0)</f>
        <v>0</v>
      </c>
      <c r="I69" s="199">
        <f ca="1">MAX(E69+G69-D69-F69,0)</f>
        <v>70000000</v>
      </c>
      <c r="J69" s="63"/>
      <c r="K69" s="196"/>
      <c r="L69" s="196"/>
      <c r="M69" s="196"/>
    </row>
    <row r="70" spans="2:13" s="192" customFormat="1" ht="19.5" customHeight="1" x14ac:dyDescent="0.25">
      <c r="B70" s="122" t="s">
        <v>437</v>
      </c>
      <c r="C70" s="197" t="s">
        <v>436</v>
      </c>
      <c r="D70" s="198"/>
      <c r="E70" s="198"/>
      <c r="F70" s="199">
        <f ca="1">SUMIF('NKC-Socai'!I$13:I$527,$B70,'NKC-Socai'!K$13:K$127)</f>
        <v>0</v>
      </c>
      <c r="G70" s="199">
        <f ca="1">SUMIF('NKC-Socai'!J$13:J$527,$B70,'NKC-Socai'!K$13:K$127)</f>
        <v>0</v>
      </c>
      <c r="H70" s="199">
        <f ca="1">MAX(D70+F70-E70-G70,0)</f>
        <v>0</v>
      </c>
      <c r="I70" s="199">
        <f ca="1">MAX(E70+G70-D70-F70,0)</f>
        <v>0</v>
      </c>
      <c r="J70" s="63"/>
      <c r="K70" s="196"/>
      <c r="L70" s="196"/>
      <c r="M70" s="196"/>
    </row>
    <row r="71" spans="2:13" ht="19.5" customHeight="1" x14ac:dyDescent="0.25">
      <c r="B71" s="200" t="s">
        <v>138</v>
      </c>
      <c r="C71" s="201" t="s">
        <v>199</v>
      </c>
      <c r="D71" s="206"/>
      <c r="E71" s="206"/>
      <c r="F71" s="206">
        <f ca="1">SUBTOTAL(9,F72:F74)</f>
        <v>0</v>
      </c>
      <c r="G71" s="206">
        <f t="shared" ref="G71:I71" ca="1" si="74">SUBTOTAL(9,G72:G74)</f>
        <v>0</v>
      </c>
      <c r="H71" s="206">
        <f t="shared" ca="1" si="74"/>
        <v>0</v>
      </c>
      <c r="I71" s="206">
        <f t="shared" ca="1" si="74"/>
        <v>0</v>
      </c>
    </row>
    <row r="72" spans="2:13" ht="19.5" customHeight="1" x14ac:dyDescent="0.25">
      <c r="B72" s="122" t="s">
        <v>226</v>
      </c>
      <c r="C72" s="122" t="s">
        <v>228</v>
      </c>
      <c r="D72" s="198"/>
      <c r="E72" s="198"/>
      <c r="F72" s="199">
        <f ca="1">SUMIF('NKC-Socai'!I$13:I$527,$B72,'NKC-Socai'!K$13:K$127)</f>
        <v>0</v>
      </c>
      <c r="G72" s="199">
        <f ca="1">SUMIF('NKC-Socai'!J$13:J$527,$B72,'NKC-Socai'!K$13:K$127)</f>
        <v>0</v>
      </c>
      <c r="H72" s="199">
        <f t="shared" ref="H72:H76" ca="1" si="75">MAX(D72+F72-E72-G72,0)</f>
        <v>0</v>
      </c>
      <c r="I72" s="199">
        <f t="shared" ref="I72:I76" ca="1" si="76">MAX(E72+G72-D72-F72,0)</f>
        <v>0</v>
      </c>
    </row>
    <row r="73" spans="2:13" ht="19.5" customHeight="1" x14ac:dyDescent="0.25">
      <c r="B73" s="122" t="s">
        <v>551</v>
      </c>
      <c r="C73" s="122" t="s">
        <v>552</v>
      </c>
      <c r="D73" s="198"/>
      <c r="E73" s="198"/>
      <c r="F73" s="199">
        <f ca="1">SUMIF('NKC-Socai'!I$13:I$527,$B73,'NKC-Socai'!K$13:K$127)</f>
        <v>0</v>
      </c>
      <c r="G73" s="199">
        <f ca="1">SUMIF('NKC-Socai'!J$13:J$527,$B73,'NKC-Socai'!K$13:K$127)</f>
        <v>0</v>
      </c>
      <c r="H73" s="199">
        <f t="shared" ref="H73" ca="1" si="77">MAX(D73+F73-E73-G73,0)</f>
        <v>0</v>
      </c>
      <c r="I73" s="199">
        <f t="shared" ref="I73" ca="1" si="78">MAX(E73+G73-D73-F73,0)</f>
        <v>0</v>
      </c>
    </row>
    <row r="74" spans="2:13" ht="19.5" customHeight="1" x14ac:dyDescent="0.25">
      <c r="B74" s="122" t="s">
        <v>225</v>
      </c>
      <c r="C74" s="122" t="s">
        <v>227</v>
      </c>
      <c r="D74" s="198"/>
      <c r="E74" s="198"/>
      <c r="F74" s="199">
        <f ca="1">SUMIF('NKC-Socai'!I$13:I$527,$B74,'NKC-Socai'!K$13:K$127)</f>
        <v>0</v>
      </c>
      <c r="G74" s="199">
        <f ca="1">SUMIF('NKC-Socai'!J$13:J$527,$B74,'NKC-Socai'!K$13:K$127)</f>
        <v>0</v>
      </c>
      <c r="H74" s="199">
        <f t="shared" ca="1" si="75"/>
        <v>0</v>
      </c>
      <c r="I74" s="199">
        <f t="shared" ca="1" si="76"/>
        <v>0</v>
      </c>
    </row>
    <row r="75" spans="2:13" ht="19.5" customHeight="1" x14ac:dyDescent="0.25">
      <c r="B75" s="200" t="s">
        <v>260</v>
      </c>
      <c r="C75" s="209" t="s">
        <v>261</v>
      </c>
      <c r="D75" s="198"/>
      <c r="E75" s="198"/>
      <c r="F75" s="199">
        <f ca="1">SUMIF('NKC-Socai'!I$13:I$527,$B75,'NKC-Socai'!K$13:K$127)</f>
        <v>0</v>
      </c>
      <c r="G75" s="199">
        <f ca="1">SUMIF('NKC-Socai'!J$13:J$527,$B75,'NKC-Socai'!K$13:K$127)</f>
        <v>0</v>
      </c>
      <c r="H75" s="199">
        <f t="shared" ca="1" si="75"/>
        <v>0</v>
      </c>
      <c r="I75" s="199">
        <f t="shared" ca="1" si="76"/>
        <v>0</v>
      </c>
    </row>
    <row r="76" spans="2:13" ht="19.5" customHeight="1" x14ac:dyDescent="0.25">
      <c r="B76" s="200" t="s">
        <v>262</v>
      </c>
      <c r="C76" s="209" t="s">
        <v>263</v>
      </c>
      <c r="D76" s="198"/>
      <c r="E76" s="198"/>
      <c r="F76" s="199">
        <f ca="1">SUMIF('NKC-Socai'!I$13:I$527,$B76,'NKC-Socai'!K$13:K$127)</f>
        <v>0</v>
      </c>
      <c r="G76" s="199">
        <f ca="1">SUMIF('NKC-Socai'!J$13:J$527,$B76,'NKC-Socai'!K$13:K$127)</f>
        <v>0</v>
      </c>
      <c r="H76" s="199">
        <f t="shared" ca="1" si="75"/>
        <v>0</v>
      </c>
      <c r="I76" s="199">
        <f t="shared" ca="1" si="76"/>
        <v>0</v>
      </c>
    </row>
    <row r="77" spans="2:13" ht="19.5" customHeight="1" x14ac:dyDescent="0.25">
      <c r="B77" s="200" t="s">
        <v>264</v>
      </c>
      <c r="C77" s="209" t="s">
        <v>265</v>
      </c>
      <c r="D77" s="198"/>
      <c r="E77" s="198"/>
      <c r="F77" s="211">
        <f ca="1">SUBTOTAL(9,F78:F83)</f>
        <v>0</v>
      </c>
      <c r="G77" s="211">
        <f ca="1">SUBTOTAL(9,G78:G83)</f>
        <v>0</v>
      </c>
      <c r="H77" s="211">
        <f ca="1">SUBTOTAL(9,H78:H83)</f>
        <v>0</v>
      </c>
      <c r="I77" s="211">
        <f ca="1">SUBTOTAL(9,I78:I83)</f>
        <v>0</v>
      </c>
    </row>
    <row r="78" spans="2:13" ht="19.5" customHeight="1" x14ac:dyDescent="0.25">
      <c r="B78" s="122" t="s">
        <v>266</v>
      </c>
      <c r="C78" s="210" t="s">
        <v>267</v>
      </c>
      <c r="D78" s="198"/>
      <c r="E78" s="198"/>
      <c r="F78" s="199">
        <f ca="1">SUMIF('NKC-Socai'!I$13:I$527,$B78,'NKC-Socai'!K$13:K$127)</f>
        <v>0</v>
      </c>
      <c r="G78" s="199">
        <f ca="1">SUMIF('NKC-Socai'!J$13:J$527,$B78,'NKC-Socai'!K$13:K$127)</f>
        <v>0</v>
      </c>
      <c r="H78" s="199">
        <f ca="1">MAX(D78+F78-E78-G78,0)</f>
        <v>0</v>
      </c>
      <c r="I78" s="199">
        <f ca="1">MAX(E78+G78-D78-F78,0)</f>
        <v>0</v>
      </c>
    </row>
    <row r="79" spans="2:13" ht="19.5" customHeight="1" x14ac:dyDescent="0.25">
      <c r="B79" s="122" t="s">
        <v>273</v>
      </c>
      <c r="C79" s="210" t="s">
        <v>274</v>
      </c>
      <c r="D79" s="198"/>
      <c r="E79" s="198"/>
      <c r="F79" s="199">
        <f ca="1">SUMIF('NKC-Socai'!I$13:I$527,$B79,'NKC-Socai'!K$13:K$127)</f>
        <v>0</v>
      </c>
      <c r="G79" s="199">
        <f ca="1">SUMIF('NKC-Socai'!J$13:J$527,$B79,'NKC-Socai'!K$13:K$127)</f>
        <v>0</v>
      </c>
      <c r="H79" s="199">
        <f t="shared" ref="H79:H85" ca="1" si="79">MAX(D79+F79-E79-G79,0)</f>
        <v>0</v>
      </c>
      <c r="I79" s="199">
        <f t="shared" ref="I79:I85" ca="1" si="80">MAX(E79+G79-D79-F79,0)</f>
        <v>0</v>
      </c>
    </row>
    <row r="80" spans="2:13" ht="19.5" customHeight="1" x14ac:dyDescent="0.25">
      <c r="B80" s="122" t="s">
        <v>268</v>
      </c>
      <c r="C80" s="210" t="s">
        <v>269</v>
      </c>
      <c r="D80" s="198"/>
      <c r="E80" s="198"/>
      <c r="F80" s="199">
        <f ca="1">SUMIF('NKC-Socai'!I$13:I$527,$B80,'NKC-Socai'!K$13:K$127)</f>
        <v>0</v>
      </c>
      <c r="G80" s="199">
        <f ca="1">SUMIF('NKC-Socai'!J$13:J$527,$B80,'NKC-Socai'!K$13:K$127)</f>
        <v>0</v>
      </c>
      <c r="H80" s="199">
        <f t="shared" ca="1" si="79"/>
        <v>0</v>
      </c>
      <c r="I80" s="199">
        <f t="shared" ca="1" si="80"/>
        <v>0</v>
      </c>
    </row>
    <row r="81" spans="2:13" ht="19.5" customHeight="1" x14ac:dyDescent="0.25">
      <c r="B81" s="122" t="s">
        <v>270</v>
      </c>
      <c r="C81" s="210" t="s">
        <v>244</v>
      </c>
      <c r="D81" s="198"/>
      <c r="E81" s="198"/>
      <c r="F81" s="199">
        <f ca="1">SUMIF('NKC-Socai'!I$13:I$527,$B81,'NKC-Socai'!K$13:K$127)</f>
        <v>0</v>
      </c>
      <c r="G81" s="199">
        <f ca="1">SUMIF('NKC-Socai'!J$13:J$527,$B81,'NKC-Socai'!K$13:K$127)</f>
        <v>0</v>
      </c>
      <c r="H81" s="199">
        <f t="shared" ca="1" si="79"/>
        <v>0</v>
      </c>
      <c r="I81" s="199">
        <f t="shared" ca="1" si="80"/>
        <v>0</v>
      </c>
    </row>
    <row r="82" spans="2:13" ht="19.5" customHeight="1" x14ac:dyDescent="0.25">
      <c r="B82" s="122" t="s">
        <v>271</v>
      </c>
      <c r="C82" s="210" t="s">
        <v>248</v>
      </c>
      <c r="D82" s="198"/>
      <c r="E82" s="198"/>
      <c r="F82" s="199">
        <f ca="1">SUMIF('NKC-Socai'!I$13:I$527,$B82,'NKC-Socai'!K$13:K$127)</f>
        <v>0</v>
      </c>
      <c r="G82" s="199">
        <f ca="1">SUMIF('NKC-Socai'!J$13:J$527,$B82,'NKC-Socai'!K$13:K$127)</f>
        <v>0</v>
      </c>
      <c r="H82" s="199">
        <f t="shared" ca="1" si="79"/>
        <v>0</v>
      </c>
      <c r="I82" s="199">
        <f t="shared" ca="1" si="80"/>
        <v>0</v>
      </c>
    </row>
    <row r="83" spans="2:13" ht="19.5" customHeight="1" x14ac:dyDescent="0.25">
      <c r="B83" s="122" t="s">
        <v>272</v>
      </c>
      <c r="C83" s="210" t="s">
        <v>250</v>
      </c>
      <c r="D83" s="198"/>
      <c r="E83" s="198"/>
      <c r="F83" s="199">
        <f ca="1">SUMIF('NKC-Socai'!I$13:I$527,$B83,'NKC-Socai'!K$13:K$127)</f>
        <v>0</v>
      </c>
      <c r="G83" s="199">
        <f ca="1">SUMIF('NKC-Socai'!J$13:J$527,$B83,'NKC-Socai'!K$13:K$127)</f>
        <v>0</v>
      </c>
      <c r="H83" s="199">
        <f t="shared" ca="1" si="79"/>
        <v>0</v>
      </c>
      <c r="I83" s="199">
        <f t="shared" ca="1" si="80"/>
        <v>0</v>
      </c>
    </row>
    <row r="84" spans="2:13" s="192" customFormat="1" ht="19.5" customHeight="1" x14ac:dyDescent="0.25">
      <c r="B84" s="200" t="s">
        <v>139</v>
      </c>
      <c r="C84" s="209" t="s">
        <v>200</v>
      </c>
      <c r="D84" s="211"/>
      <c r="E84" s="211"/>
      <c r="F84" s="211">
        <f ca="1">SUMIF('NKC-Socai'!I$13:I$527,$B84,'NKC-Socai'!K$13:K$127)</f>
        <v>0</v>
      </c>
      <c r="G84" s="211">
        <f ca="1">SUMIF('NKC-Socai'!J$13:J$527,$B84,'NKC-Socai'!K$13:K$127)</f>
        <v>0</v>
      </c>
      <c r="H84" s="211">
        <f t="shared" ca="1" si="79"/>
        <v>0</v>
      </c>
      <c r="I84" s="211">
        <f t="shared" ca="1" si="80"/>
        <v>0</v>
      </c>
      <c r="K84" s="196"/>
      <c r="L84" s="196"/>
      <c r="M84" s="196"/>
    </row>
    <row r="85" spans="2:13" s="192" customFormat="1" ht="19.5" customHeight="1" x14ac:dyDescent="0.25">
      <c r="B85" s="200" t="s">
        <v>282</v>
      </c>
      <c r="C85" s="209" t="s">
        <v>283</v>
      </c>
      <c r="D85" s="211"/>
      <c r="E85" s="211"/>
      <c r="F85" s="211">
        <f ca="1">SUMIF('NKC-Socai'!I$13:I$527,$B85,'NKC-Socai'!K$13:K$127)</f>
        <v>0</v>
      </c>
      <c r="G85" s="211">
        <f ca="1">SUMIF('NKC-Socai'!J$13:J$527,$B85,'NKC-Socai'!K$13:K$127)</f>
        <v>0</v>
      </c>
      <c r="H85" s="211">
        <f t="shared" ca="1" si="79"/>
        <v>0</v>
      </c>
      <c r="I85" s="211">
        <f t="shared" ca="1" si="80"/>
        <v>0</v>
      </c>
      <c r="K85" s="196"/>
      <c r="L85" s="196"/>
      <c r="M85" s="196"/>
    </row>
    <row r="86" spans="2:13" s="192" customFormat="1" ht="19.5" customHeight="1" x14ac:dyDescent="0.25">
      <c r="B86" s="200" t="s">
        <v>140</v>
      </c>
      <c r="C86" s="201" t="s">
        <v>201</v>
      </c>
      <c r="D86" s="206"/>
      <c r="E86" s="206"/>
      <c r="F86" s="206">
        <f ca="1">SUBTOTAL(9,F87:F92)</f>
        <v>0</v>
      </c>
      <c r="G86" s="206">
        <f ca="1">SUBTOTAL(9,G87:G92)</f>
        <v>0</v>
      </c>
      <c r="H86" s="206">
        <f ca="1">SUBTOTAL(9,H87:H92)</f>
        <v>0</v>
      </c>
      <c r="I86" s="206">
        <f ca="1">SUBTOTAL(9,I87:I92)</f>
        <v>0</v>
      </c>
      <c r="K86" s="196"/>
      <c r="L86" s="196"/>
      <c r="M86" s="196"/>
    </row>
    <row r="87" spans="2:13" s="192" customFormat="1" ht="19.5" customHeight="1" x14ac:dyDescent="0.25">
      <c r="B87" s="122" t="s">
        <v>251</v>
      </c>
      <c r="C87" s="210" t="s">
        <v>252</v>
      </c>
      <c r="D87" s="229"/>
      <c r="E87" s="229"/>
      <c r="F87" s="199">
        <f ca="1">SUMIF('NKC-Socai'!I$13:I$527,$B87,'NKC-Socai'!K$13:K$127)</f>
        <v>0</v>
      </c>
      <c r="G87" s="199">
        <f ca="1">SUMIF('NKC-Socai'!J$13:J$527,$B87,'NKC-Socai'!K$13:K$127)</f>
        <v>0</v>
      </c>
      <c r="H87" s="199">
        <f t="shared" ref="H87:H92" ca="1" si="81">MAX(D87+F87-E87-G87,0)</f>
        <v>0</v>
      </c>
      <c r="I87" s="199">
        <f t="shared" ref="I87:I92" ca="1" si="82">MAX(E87+G87-D87-F87,0)</f>
        <v>0</v>
      </c>
      <c r="K87" s="196"/>
      <c r="L87" s="196"/>
      <c r="M87" s="196"/>
    </row>
    <row r="88" spans="2:13" s="192" customFormat="1" ht="19.5" customHeight="1" x14ac:dyDescent="0.25">
      <c r="B88" s="122" t="s">
        <v>256</v>
      </c>
      <c r="C88" s="210" t="s">
        <v>257</v>
      </c>
      <c r="D88" s="229"/>
      <c r="E88" s="229"/>
      <c r="F88" s="199">
        <f ca="1">SUMIF('NKC-Socai'!I$13:I$527,$B88,'NKC-Socai'!K$13:K$127)</f>
        <v>0</v>
      </c>
      <c r="G88" s="199">
        <f ca="1">SUMIF('NKC-Socai'!J$13:J$527,$B88,'NKC-Socai'!K$13:K$127)</f>
        <v>0</v>
      </c>
      <c r="H88" s="199">
        <f t="shared" ca="1" si="81"/>
        <v>0</v>
      </c>
      <c r="I88" s="199">
        <f t="shared" ca="1" si="82"/>
        <v>0</v>
      </c>
      <c r="K88" s="196"/>
      <c r="L88" s="196"/>
      <c r="M88" s="196"/>
    </row>
    <row r="89" spans="2:13" s="192" customFormat="1" ht="19.5" customHeight="1" x14ac:dyDescent="0.25">
      <c r="B89" s="122" t="s">
        <v>258</v>
      </c>
      <c r="C89" s="210" t="s">
        <v>259</v>
      </c>
      <c r="D89" s="229"/>
      <c r="E89" s="229"/>
      <c r="F89" s="199">
        <f ca="1">SUMIF('NKC-Socai'!I$13:I$527,$B89,'NKC-Socai'!K$13:K$127)</f>
        <v>0</v>
      </c>
      <c r="G89" s="199">
        <f ca="1">SUMIF('NKC-Socai'!J$13:J$527,$B89,'NKC-Socai'!K$13:K$127)</f>
        <v>0</v>
      </c>
      <c r="H89" s="199">
        <f t="shared" ca="1" si="81"/>
        <v>0</v>
      </c>
      <c r="I89" s="199">
        <f t="shared" ca="1" si="82"/>
        <v>0</v>
      </c>
      <c r="K89" s="196"/>
      <c r="L89" s="196"/>
      <c r="M89" s="196"/>
    </row>
    <row r="90" spans="2:13" s="192" customFormat="1" ht="19.5" customHeight="1" x14ac:dyDescent="0.25">
      <c r="B90" s="122" t="s">
        <v>253</v>
      </c>
      <c r="C90" s="210" t="s">
        <v>244</v>
      </c>
      <c r="D90" s="229"/>
      <c r="E90" s="229"/>
      <c r="F90" s="199">
        <f ca="1">SUMIF('NKC-Socai'!I$13:I$527,$B90,'NKC-Socai'!K$13:K$127)</f>
        <v>0</v>
      </c>
      <c r="G90" s="199">
        <f ca="1">SUMIF('NKC-Socai'!J$13:J$527,$B90,'NKC-Socai'!K$13:K$127)</f>
        <v>0</v>
      </c>
      <c r="H90" s="199">
        <f t="shared" ca="1" si="81"/>
        <v>0</v>
      </c>
      <c r="I90" s="199">
        <f t="shared" ca="1" si="82"/>
        <v>0</v>
      </c>
      <c r="K90" s="196"/>
      <c r="L90" s="196"/>
      <c r="M90" s="196"/>
    </row>
    <row r="91" spans="2:13" s="192" customFormat="1" ht="19.5" customHeight="1" x14ac:dyDescent="0.25">
      <c r="B91" s="122" t="s">
        <v>254</v>
      </c>
      <c r="C91" s="210" t="s">
        <v>248</v>
      </c>
      <c r="D91" s="229"/>
      <c r="E91" s="229"/>
      <c r="F91" s="199">
        <f ca="1">SUMIF('NKC-Socai'!I$13:I$527,$B91,'NKC-Socai'!K$13:K$127)</f>
        <v>0</v>
      </c>
      <c r="G91" s="199">
        <f ca="1">SUMIF('NKC-Socai'!J$13:J$527,$B91,'NKC-Socai'!K$13:K$127)</f>
        <v>0</v>
      </c>
      <c r="H91" s="199">
        <f t="shared" ca="1" si="81"/>
        <v>0</v>
      </c>
      <c r="I91" s="199">
        <f t="shared" ca="1" si="82"/>
        <v>0</v>
      </c>
      <c r="K91" s="196"/>
      <c r="L91" s="196"/>
      <c r="M91" s="196"/>
    </row>
    <row r="92" spans="2:13" s="192" customFormat="1" ht="19.5" customHeight="1" x14ac:dyDescent="0.25">
      <c r="B92" s="122" t="s">
        <v>255</v>
      </c>
      <c r="C92" s="210" t="s">
        <v>250</v>
      </c>
      <c r="D92" s="229"/>
      <c r="E92" s="229"/>
      <c r="F92" s="199">
        <f ca="1">SUMIF('NKC-Socai'!I$13:I$527,$B92,'NKC-Socai'!K$13:K$127)</f>
        <v>0</v>
      </c>
      <c r="G92" s="199">
        <f ca="1">SUMIF('NKC-Socai'!J$13:J$527,$B92,'NKC-Socai'!K$13:K$127)</f>
        <v>0</v>
      </c>
      <c r="H92" s="199">
        <f t="shared" ca="1" si="81"/>
        <v>0</v>
      </c>
      <c r="I92" s="199">
        <f t="shared" ca="1" si="82"/>
        <v>0</v>
      </c>
      <c r="K92" s="196"/>
      <c r="L92" s="196"/>
      <c r="M92" s="196"/>
    </row>
    <row r="93" spans="2:13" s="192" customFormat="1" ht="19.5" customHeight="1" x14ac:dyDescent="0.25">
      <c r="B93" s="200" t="s">
        <v>178</v>
      </c>
      <c r="C93" s="201" t="s">
        <v>202</v>
      </c>
      <c r="D93" s="206"/>
      <c r="E93" s="206"/>
      <c r="F93" s="206">
        <f ca="1">SUBTOTAL(9,F94:F100)</f>
        <v>0</v>
      </c>
      <c r="G93" s="206">
        <f t="shared" ref="G93:I93" ca="1" si="83">SUBTOTAL(9,G94:G100)</f>
        <v>0</v>
      </c>
      <c r="H93" s="206">
        <f t="shared" ca="1" si="83"/>
        <v>0</v>
      </c>
      <c r="I93" s="206">
        <f t="shared" ca="1" si="83"/>
        <v>0</v>
      </c>
      <c r="K93" s="196"/>
      <c r="L93" s="196"/>
      <c r="M93" s="196"/>
    </row>
    <row r="94" spans="2:13" s="192" customFormat="1" ht="19.5" customHeight="1" x14ac:dyDescent="0.25">
      <c r="B94" s="122" t="s">
        <v>237</v>
      </c>
      <c r="C94" s="210" t="s">
        <v>238</v>
      </c>
      <c r="D94" s="198"/>
      <c r="E94" s="198"/>
      <c r="F94" s="199">
        <f ca="1">SUMIF('NKC-Socai'!I$13:I$527,$B94,'NKC-Socai'!K$13:K$127)</f>
        <v>0</v>
      </c>
      <c r="G94" s="199">
        <f ca="1">SUMIF('NKC-Socai'!J$13:J$527,$B94,'NKC-Socai'!K$13:K$127)</f>
        <v>0</v>
      </c>
      <c r="H94" s="199">
        <f t="shared" ref="H94:H100" ca="1" si="84">MAX(D94+F94-E94-G94,0)</f>
        <v>0</v>
      </c>
      <c r="I94" s="199">
        <f t="shared" ref="I94:I100" ca="1" si="85">MAX(E94+G94-D94-F94,0)</f>
        <v>0</v>
      </c>
      <c r="K94" s="196"/>
      <c r="L94" s="196"/>
      <c r="M94" s="196"/>
    </row>
    <row r="95" spans="2:13" s="192" customFormat="1" ht="19.5" customHeight="1" x14ac:dyDescent="0.25">
      <c r="B95" s="122" t="s">
        <v>239</v>
      </c>
      <c r="C95" s="210" t="s">
        <v>240</v>
      </c>
      <c r="D95" s="198"/>
      <c r="E95" s="198"/>
      <c r="F95" s="199">
        <f ca="1">SUMIF('NKC-Socai'!I$13:I$527,$B95,'NKC-Socai'!K$13:K$127)</f>
        <v>0</v>
      </c>
      <c r="G95" s="199">
        <f ca="1">SUMIF('NKC-Socai'!J$13:J$527,$B95,'NKC-Socai'!K$13:K$127)</f>
        <v>0</v>
      </c>
      <c r="H95" s="199">
        <f t="shared" ca="1" si="84"/>
        <v>0</v>
      </c>
      <c r="I95" s="199">
        <f t="shared" ca="1" si="85"/>
        <v>0</v>
      </c>
      <c r="K95" s="196"/>
      <c r="L95" s="196"/>
      <c r="M95" s="196"/>
    </row>
    <row r="96" spans="2:13" s="192" customFormat="1" ht="19.5" customHeight="1" x14ac:dyDescent="0.25">
      <c r="B96" s="122" t="s">
        <v>241</v>
      </c>
      <c r="C96" s="210" t="s">
        <v>242</v>
      </c>
      <c r="D96" s="198"/>
      <c r="E96" s="198"/>
      <c r="F96" s="199">
        <f ca="1">SUMIF('NKC-Socai'!I$13:I$527,$B96,'NKC-Socai'!K$13:K$127)</f>
        <v>0</v>
      </c>
      <c r="G96" s="199">
        <f ca="1">SUMIF('NKC-Socai'!J$13:J$527,$B96,'NKC-Socai'!K$13:K$127)</f>
        <v>0</v>
      </c>
      <c r="H96" s="199">
        <f t="shared" ca="1" si="84"/>
        <v>0</v>
      </c>
      <c r="I96" s="199">
        <f t="shared" ca="1" si="85"/>
        <v>0</v>
      </c>
      <c r="K96" s="196"/>
      <c r="L96" s="196"/>
      <c r="M96" s="196"/>
    </row>
    <row r="97" spans="2:13" s="192" customFormat="1" ht="19.5" customHeight="1" x14ac:dyDescent="0.25">
      <c r="B97" s="122" t="s">
        <v>243</v>
      </c>
      <c r="C97" s="210" t="s">
        <v>244</v>
      </c>
      <c r="D97" s="198"/>
      <c r="E97" s="198"/>
      <c r="F97" s="199">
        <f ca="1">SUMIF('NKC-Socai'!I$13:I$527,$B97,'NKC-Socai'!K$13:K$127)</f>
        <v>0</v>
      </c>
      <c r="G97" s="199">
        <f ca="1">SUMIF('NKC-Socai'!J$13:J$527,$B97,'NKC-Socai'!K$13:K$127)</f>
        <v>0</v>
      </c>
      <c r="H97" s="199">
        <f t="shared" ca="1" si="84"/>
        <v>0</v>
      </c>
      <c r="I97" s="199">
        <f t="shared" ca="1" si="85"/>
        <v>0</v>
      </c>
      <c r="K97" s="196"/>
      <c r="L97" s="196"/>
      <c r="M97" s="196"/>
    </row>
    <row r="98" spans="2:13" s="192" customFormat="1" ht="19.5" customHeight="1" x14ac:dyDescent="0.25">
      <c r="B98" s="122" t="s">
        <v>245</v>
      </c>
      <c r="C98" s="210" t="s">
        <v>246</v>
      </c>
      <c r="D98" s="198"/>
      <c r="E98" s="198"/>
      <c r="F98" s="199">
        <f ca="1">SUMIF('NKC-Socai'!I$13:I$527,$B98,'NKC-Socai'!K$13:K$127)</f>
        <v>0</v>
      </c>
      <c r="G98" s="199">
        <f ca="1">SUMIF('NKC-Socai'!J$13:J$527,$B98,'NKC-Socai'!K$13:K$127)</f>
        <v>0</v>
      </c>
      <c r="H98" s="199">
        <f t="shared" ca="1" si="84"/>
        <v>0</v>
      </c>
      <c r="I98" s="199">
        <f t="shared" ca="1" si="85"/>
        <v>0</v>
      </c>
      <c r="K98" s="196"/>
      <c r="L98" s="196"/>
      <c r="M98" s="196"/>
    </row>
    <row r="99" spans="2:13" s="192" customFormat="1" ht="19.5" customHeight="1" x14ac:dyDescent="0.25">
      <c r="B99" s="122" t="s">
        <v>247</v>
      </c>
      <c r="C99" s="210" t="s">
        <v>248</v>
      </c>
      <c r="D99" s="198"/>
      <c r="E99" s="198"/>
      <c r="F99" s="199">
        <f ca="1">SUMIF('NKC-Socai'!I$13:I$527,$B99,'NKC-Socai'!K$13:K$127)</f>
        <v>0</v>
      </c>
      <c r="G99" s="199">
        <f ca="1">SUMIF('NKC-Socai'!J$13:J$527,$B99,'NKC-Socai'!K$13:K$127)</f>
        <v>0</v>
      </c>
      <c r="H99" s="199">
        <f t="shared" ca="1" si="84"/>
        <v>0</v>
      </c>
      <c r="I99" s="199">
        <f t="shared" ca="1" si="85"/>
        <v>0</v>
      </c>
      <c r="K99" s="196"/>
      <c r="L99" s="196"/>
      <c r="M99" s="196"/>
    </row>
    <row r="100" spans="2:13" s="192" customFormat="1" ht="19.5" customHeight="1" x14ac:dyDescent="0.25">
      <c r="B100" s="122" t="s">
        <v>249</v>
      </c>
      <c r="C100" s="210" t="s">
        <v>250</v>
      </c>
      <c r="D100" s="198"/>
      <c r="E100" s="198"/>
      <c r="F100" s="199">
        <f ca="1">SUMIF('NKC-Socai'!I$13:I$527,$B100,'NKC-Socai'!K$13:K$127)</f>
        <v>0</v>
      </c>
      <c r="G100" s="199">
        <f ca="1">SUMIF('NKC-Socai'!J$13:J$527,$B100,'NKC-Socai'!K$13:K$127)</f>
        <v>0</v>
      </c>
      <c r="H100" s="199">
        <f t="shared" ca="1" si="84"/>
        <v>0</v>
      </c>
      <c r="I100" s="199">
        <f t="shared" ca="1" si="85"/>
        <v>0</v>
      </c>
      <c r="K100" s="196"/>
      <c r="L100" s="196"/>
      <c r="M100" s="196"/>
    </row>
    <row r="101" spans="2:13" ht="19.5" customHeight="1" x14ac:dyDescent="0.25">
      <c r="B101" s="200" t="s">
        <v>187</v>
      </c>
      <c r="C101" s="201" t="s">
        <v>203</v>
      </c>
      <c r="D101" s="206"/>
      <c r="E101" s="206"/>
      <c r="F101" s="206">
        <f ca="1">SUBTOTAL(9,F102:F103)</f>
        <v>0</v>
      </c>
      <c r="G101" s="206">
        <f ca="1">SUBTOTAL(9,G102:G103)</f>
        <v>0</v>
      </c>
      <c r="H101" s="206">
        <f ca="1">SUBTOTAL(9,H102:H103)</f>
        <v>0</v>
      </c>
      <c r="I101" s="206">
        <f ca="1">SUBTOTAL(9,I102:I103)</f>
        <v>0</v>
      </c>
    </row>
    <row r="102" spans="2:13" ht="19.5" customHeight="1" x14ac:dyDescent="0.25">
      <c r="B102" s="122" t="s">
        <v>229</v>
      </c>
      <c r="C102" s="210" t="s">
        <v>230</v>
      </c>
      <c r="D102" s="212"/>
      <c r="E102" s="212"/>
      <c r="F102" s="199">
        <f ca="1">SUMIF('NKC-Socai'!I$13:I$527,$B102,'NKC-Socai'!K$13:K$127)</f>
        <v>0</v>
      </c>
      <c r="G102" s="199">
        <f ca="1">SUMIF('NKC-Socai'!J$13:J$527,$B102,'NKC-Socai'!K$13:K$127)</f>
        <v>0</v>
      </c>
      <c r="H102" s="199">
        <f t="shared" ref="H102:H103" ca="1" si="86">MAX(D102+F102-E102-G102,0)</f>
        <v>0</v>
      </c>
      <c r="I102" s="199">
        <f t="shared" ref="I102:I103" ca="1" si="87">MAX(E102+G102-D102-F102,0)</f>
        <v>0</v>
      </c>
    </row>
    <row r="103" spans="2:13" ht="19.5" customHeight="1" x14ac:dyDescent="0.25">
      <c r="B103" s="122" t="s">
        <v>326</v>
      </c>
      <c r="C103" s="210" t="s">
        <v>327</v>
      </c>
      <c r="D103" s="212"/>
      <c r="E103" s="212"/>
      <c r="F103" s="199">
        <f ca="1">SUMIF('NKC-Socai'!I$13:I$527,$B103,'NKC-Socai'!K$13:K$127)</f>
        <v>0</v>
      </c>
      <c r="G103" s="199">
        <f ca="1">SUMIF('NKC-Socai'!J$13:J$527,$B103,'NKC-Socai'!K$13:K$127)</f>
        <v>0</v>
      </c>
      <c r="H103" s="199">
        <f t="shared" ca="1" si="86"/>
        <v>0</v>
      </c>
      <c r="I103" s="199">
        <f t="shared" ca="1" si="87"/>
        <v>0</v>
      </c>
    </row>
    <row r="104" spans="2:13" s="192" customFormat="1" ht="19.5" customHeight="1" x14ac:dyDescent="0.25">
      <c r="B104" s="213" t="s">
        <v>141</v>
      </c>
      <c r="C104" s="201" t="s">
        <v>204</v>
      </c>
      <c r="D104" s="211"/>
      <c r="E104" s="211"/>
      <c r="F104" s="211">
        <f ca="1">SUMIF('NKC-Socai'!I$13:I$527,$B104,'NKC-Socai'!K$13:K$127)</f>
        <v>0</v>
      </c>
      <c r="G104" s="211">
        <f ca="1">SUMIF('NKC-Socai'!J$13:J$527,$B104,'NKC-Socai'!K$13:K$127)</f>
        <v>0</v>
      </c>
      <c r="H104" s="211">
        <f ca="1">MAX(D104+F104-E104-G104,0)</f>
        <v>0</v>
      </c>
      <c r="I104" s="211">
        <f ca="1">MAX(E104+G104-D104-F104,0)</f>
        <v>0</v>
      </c>
      <c r="K104" s="196">
        <v>312091000</v>
      </c>
      <c r="L104" s="196"/>
      <c r="M104" s="196"/>
    </row>
    <row r="105" spans="2:13" ht="19.5" customHeight="1" x14ac:dyDescent="0.25">
      <c r="B105" s="214" t="s">
        <v>114</v>
      </c>
      <c r="C105" s="215"/>
      <c r="D105" s="216">
        <f t="shared" ref="D105:I105" si="88">SUBTOTAL(9,D8:D104)</f>
        <v>8347050000</v>
      </c>
      <c r="E105" s="216">
        <f t="shared" si="88"/>
        <v>8347050000</v>
      </c>
      <c r="F105" s="216">
        <f t="shared" ca="1" si="88"/>
        <v>0</v>
      </c>
      <c r="G105" s="216">
        <f t="shared" ca="1" si="88"/>
        <v>0</v>
      </c>
      <c r="H105" s="216">
        <f t="shared" ca="1" si="88"/>
        <v>8347050000</v>
      </c>
      <c r="I105" s="216">
        <f t="shared" ca="1" si="88"/>
        <v>8347050000</v>
      </c>
      <c r="K105" s="394">
        <v>32000000</v>
      </c>
    </row>
    <row r="106" spans="2:13" ht="18" customHeight="1" x14ac:dyDescent="0.25">
      <c r="B106" s="217"/>
      <c r="C106" s="218"/>
      <c r="D106" s="219"/>
      <c r="E106" s="219">
        <f>D105-E105</f>
        <v>0</v>
      </c>
      <c r="F106" s="220">
        <f ca="1">F105-G105</f>
        <v>0</v>
      </c>
      <c r="G106" s="220"/>
      <c r="H106" s="220">
        <f ca="1">H105-I105</f>
        <v>0</v>
      </c>
      <c r="I106" s="220"/>
      <c r="K106" s="394">
        <v>3200000</v>
      </c>
    </row>
    <row r="107" spans="2:13" ht="18" customHeight="1" x14ac:dyDescent="0.25">
      <c r="B107" s="221"/>
      <c r="C107" s="221"/>
      <c r="D107" s="221"/>
      <c r="E107" s="221"/>
      <c r="F107" s="222"/>
      <c r="G107" s="222"/>
      <c r="H107" s="222"/>
      <c r="I107" s="222"/>
      <c r="K107" s="184">
        <f>SUM(K104:K106)</f>
        <v>347291000</v>
      </c>
    </row>
    <row r="108" spans="2:13" ht="18" customHeight="1" x14ac:dyDescent="0.25">
      <c r="C108" s="223"/>
      <c r="H108" s="176" t="str">
        <f>'NKC-Socai'!J131</f>
        <v>Ngày 30 tháng 11 năm 2023</v>
      </c>
      <c r="I108" s="224"/>
      <c r="K108" s="184">
        <f>K107*0.2</f>
        <v>69458200</v>
      </c>
    </row>
    <row r="109" spans="2:13" ht="18" customHeight="1" x14ac:dyDescent="0.25">
      <c r="C109" s="225" t="s">
        <v>174</v>
      </c>
      <c r="E109" s="178" t="s">
        <v>167</v>
      </c>
      <c r="H109" s="164" t="s">
        <v>165</v>
      </c>
    </row>
    <row r="110" spans="2:13" ht="18" customHeight="1" x14ac:dyDescent="0.25">
      <c r="C110" s="225"/>
      <c r="F110" s="185"/>
      <c r="G110" s="164"/>
      <c r="I110" s="234"/>
    </row>
    <row r="111" spans="2:13" ht="18" customHeight="1" x14ac:dyDescent="0.25">
      <c r="C111" s="225"/>
      <c r="G111" s="164"/>
      <c r="I111" s="234"/>
    </row>
    <row r="112" spans="2:13" ht="18" customHeight="1" x14ac:dyDescent="0.25">
      <c r="C112" s="225"/>
      <c r="G112" s="164"/>
      <c r="I112" s="234"/>
    </row>
    <row r="113" spans="3:9" ht="18" customHeight="1" x14ac:dyDescent="0.25">
      <c r="C113" s="225"/>
      <c r="G113" s="164"/>
      <c r="I113" s="234"/>
    </row>
    <row r="114" spans="3:9" ht="18" customHeight="1" x14ac:dyDescent="0.25">
      <c r="C114" s="226"/>
      <c r="E114" s="67"/>
      <c r="G114" s="183"/>
      <c r="H114" s="67"/>
      <c r="I114" s="234"/>
    </row>
    <row r="115" spans="3:9" ht="18" customHeight="1" x14ac:dyDescent="0.25">
      <c r="C115" s="227"/>
      <c r="E115" s="68"/>
      <c r="G115" s="66"/>
      <c r="H115" s="69"/>
      <c r="I115" s="234"/>
    </row>
  </sheetData>
  <autoFilter ref="A7:I106" xr:uid="{00000000-0009-0000-0000-000004000000}"/>
  <phoneticPr fontId="2" type="noConversion"/>
  <pageMargins left="0.27559055118110237" right="0.23622047244094491" top="0.47244094488188981" bottom="0.31496062992125984" header="0.23622047244094491" footer="0.23622047244094491"/>
  <pageSetup paperSize="9" scale="84" fitToHeight="16" orientation="landscape" r:id="rId1"/>
  <headerFooter alignWithMargins="0"/>
  <colBreaks count="1" manualBreakCount="1">
    <brk id="1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E146"/>
  <sheetViews>
    <sheetView showZeros="0" topLeftCell="A109" zoomScaleNormal="100" workbookViewId="0">
      <selection activeCell="D118" sqref="D118"/>
    </sheetView>
  </sheetViews>
  <sheetFormatPr defaultColWidth="8.75" defaultRowHeight="15.75" x14ac:dyDescent="0.25"/>
  <cols>
    <col min="1" max="1" width="50.75" style="63" customWidth="1"/>
    <col min="2" max="2" width="8.75" style="63" customWidth="1"/>
    <col min="3" max="3" width="10.875" style="63" customWidth="1"/>
    <col min="4" max="4" width="19.25" style="63" customWidth="1"/>
    <col min="5" max="5" width="19.25" style="234" customWidth="1"/>
    <col min="6" max="6" width="24.5" style="63" customWidth="1"/>
    <col min="7" max="16384" width="8.75" style="63"/>
  </cols>
  <sheetData>
    <row r="1" spans="1:5" ht="19.149999999999999" customHeight="1" x14ac:dyDescent="0.25">
      <c r="A1" s="235" t="str">
        <f>'NKC-Socai'!B1</f>
        <v>Công ty TNHH Dịch vụ Ngôi Sao</v>
      </c>
      <c r="B1" s="236"/>
      <c r="D1" s="237" t="s">
        <v>56</v>
      </c>
      <c r="E1" s="238"/>
    </row>
    <row r="2" spans="1:5" ht="19.149999999999999" customHeight="1" x14ac:dyDescent="0.25">
      <c r="A2" s="235"/>
      <c r="B2" s="236"/>
      <c r="D2" s="72"/>
      <c r="E2" s="238"/>
    </row>
    <row r="3" spans="1:5" ht="19.149999999999999" customHeight="1" x14ac:dyDescent="0.25">
      <c r="A3" s="235"/>
      <c r="B3" s="236"/>
      <c r="D3" s="72"/>
      <c r="E3" s="238"/>
    </row>
    <row r="4" spans="1:5" ht="19.149999999999999" customHeight="1" x14ac:dyDescent="0.25">
      <c r="A4" s="66"/>
    </row>
    <row r="5" spans="1:5" ht="21.6" customHeight="1" x14ac:dyDescent="0.3">
      <c r="A5" s="239" t="s">
        <v>3</v>
      </c>
      <c r="B5" s="72"/>
      <c r="C5" s="72"/>
      <c r="D5" s="72"/>
      <c r="E5" s="238"/>
    </row>
    <row r="6" spans="1:5" ht="19.149999999999999" customHeight="1" x14ac:dyDescent="0.25">
      <c r="A6" s="240" t="s">
        <v>621</v>
      </c>
      <c r="B6" s="72"/>
      <c r="C6" s="72"/>
      <c r="D6" s="72"/>
      <c r="E6" s="238"/>
    </row>
    <row r="7" spans="1:5" ht="19.149999999999999" customHeight="1" x14ac:dyDescent="0.25">
      <c r="A7" s="176"/>
      <c r="E7" s="241" t="s">
        <v>352</v>
      </c>
    </row>
    <row r="8" spans="1:5" ht="28.15" customHeight="1" x14ac:dyDescent="0.25">
      <c r="A8" s="242" t="s">
        <v>4</v>
      </c>
      <c r="B8" s="242" t="s">
        <v>5</v>
      </c>
      <c r="C8" s="243" t="s">
        <v>13</v>
      </c>
      <c r="D8" s="242" t="s">
        <v>128</v>
      </c>
      <c r="E8" s="244" t="s">
        <v>127</v>
      </c>
    </row>
    <row r="9" spans="1:5" ht="19.149999999999999" customHeight="1" x14ac:dyDescent="0.25">
      <c r="A9" s="245">
        <v>1</v>
      </c>
      <c r="B9" s="245">
        <v>2</v>
      </c>
      <c r="C9" s="245">
        <v>3</v>
      </c>
      <c r="D9" s="245">
        <v>4</v>
      </c>
      <c r="E9" s="246" t="s">
        <v>353</v>
      </c>
    </row>
    <row r="10" spans="1:5" ht="18.75" customHeight="1" x14ac:dyDescent="0.25">
      <c r="A10" s="247"/>
      <c r="B10" s="248"/>
      <c r="C10" s="249"/>
      <c r="D10" s="250"/>
      <c r="E10" s="251"/>
    </row>
    <row r="11" spans="1:5" ht="18.75" customHeight="1" x14ac:dyDescent="0.25">
      <c r="A11" s="252" t="s">
        <v>354</v>
      </c>
      <c r="B11" s="253">
        <v>100</v>
      </c>
      <c r="C11" s="254"/>
      <c r="D11" s="255"/>
      <c r="E11" s="255"/>
    </row>
    <row r="12" spans="1:5" ht="18.75" customHeight="1" x14ac:dyDescent="0.25">
      <c r="A12" s="252" t="s">
        <v>6</v>
      </c>
      <c r="B12" s="253">
        <v>110</v>
      </c>
      <c r="C12" s="256"/>
      <c r="D12" s="257"/>
      <c r="E12" s="257"/>
    </row>
    <row r="13" spans="1:5" ht="18.75" customHeight="1" x14ac:dyDescent="0.25">
      <c r="A13" s="258" t="s">
        <v>94</v>
      </c>
      <c r="B13" s="259">
        <v>111</v>
      </c>
      <c r="C13" s="260"/>
      <c r="D13" s="257"/>
      <c r="E13" s="257"/>
    </row>
    <row r="14" spans="1:5" ht="18.75" customHeight="1" x14ac:dyDescent="0.25">
      <c r="A14" s="258" t="s">
        <v>95</v>
      </c>
      <c r="B14" s="259">
        <v>112</v>
      </c>
      <c r="C14" s="260"/>
      <c r="D14" s="257"/>
      <c r="E14" s="257"/>
    </row>
    <row r="15" spans="1:5" ht="18.75" customHeight="1" x14ac:dyDescent="0.25">
      <c r="A15" s="252" t="s">
        <v>355</v>
      </c>
      <c r="B15" s="253">
        <v>120</v>
      </c>
      <c r="C15" s="260"/>
      <c r="D15" s="255"/>
      <c r="E15" s="255"/>
    </row>
    <row r="16" spans="1:5" ht="18.75" customHeight="1" x14ac:dyDescent="0.25">
      <c r="A16" s="258" t="s">
        <v>356</v>
      </c>
      <c r="B16" s="259">
        <v>121</v>
      </c>
      <c r="C16" s="260"/>
      <c r="D16" s="257"/>
      <c r="E16" s="257"/>
    </row>
    <row r="17" spans="1:5" ht="18.75" customHeight="1" x14ac:dyDescent="0.25">
      <c r="A17" s="258" t="s">
        <v>357</v>
      </c>
      <c r="B17" s="259">
        <v>122</v>
      </c>
      <c r="C17" s="260"/>
      <c r="D17" s="257"/>
      <c r="E17" s="257"/>
    </row>
    <row r="18" spans="1:5" ht="18.75" customHeight="1" x14ac:dyDescent="0.25">
      <c r="A18" s="258" t="s">
        <v>358</v>
      </c>
      <c r="B18" s="259">
        <v>123</v>
      </c>
      <c r="C18" s="260"/>
      <c r="D18" s="257"/>
      <c r="E18" s="261"/>
    </row>
    <row r="19" spans="1:5" ht="18.75" customHeight="1" x14ac:dyDescent="0.25">
      <c r="A19" s="252" t="s">
        <v>7</v>
      </c>
      <c r="B19" s="253">
        <v>130</v>
      </c>
      <c r="C19" s="256"/>
      <c r="D19" s="255"/>
      <c r="E19" s="262"/>
    </row>
    <row r="20" spans="1:5" ht="18.75" customHeight="1" x14ac:dyDescent="0.25">
      <c r="A20" s="258" t="s">
        <v>359</v>
      </c>
      <c r="B20" s="259">
        <v>131</v>
      </c>
      <c r="C20" s="260"/>
      <c r="D20" s="257"/>
      <c r="E20" s="262"/>
    </row>
    <row r="21" spans="1:5" ht="18.75" customHeight="1" x14ac:dyDescent="0.25">
      <c r="A21" s="258" t="s">
        <v>96</v>
      </c>
      <c r="B21" s="259">
        <v>132</v>
      </c>
      <c r="C21" s="260"/>
      <c r="D21" s="257"/>
      <c r="E21" s="262"/>
    </row>
    <row r="22" spans="1:5" ht="18.75" customHeight="1" x14ac:dyDescent="0.25">
      <c r="A22" s="258" t="s">
        <v>97</v>
      </c>
      <c r="B22" s="259">
        <v>133</v>
      </c>
      <c r="C22" s="260"/>
      <c r="D22" s="257"/>
      <c r="E22" s="261"/>
    </row>
    <row r="23" spans="1:5" ht="18.75" customHeight="1" x14ac:dyDescent="0.25">
      <c r="A23" s="258" t="s">
        <v>98</v>
      </c>
      <c r="B23" s="259">
        <v>134</v>
      </c>
      <c r="C23" s="260"/>
      <c r="D23" s="257"/>
      <c r="E23" s="261"/>
    </row>
    <row r="24" spans="1:5" ht="18.75" customHeight="1" x14ac:dyDescent="0.25">
      <c r="A24" s="258" t="s">
        <v>99</v>
      </c>
      <c r="B24" s="259">
        <v>135</v>
      </c>
      <c r="C24" s="260"/>
      <c r="D24" s="257"/>
      <c r="E24" s="261"/>
    </row>
    <row r="25" spans="1:5" ht="18.75" customHeight="1" x14ac:dyDescent="0.25">
      <c r="A25" s="258" t="s">
        <v>360</v>
      </c>
      <c r="B25" s="259">
        <v>136</v>
      </c>
      <c r="C25" s="260"/>
      <c r="D25" s="257"/>
      <c r="E25" s="261"/>
    </row>
    <row r="26" spans="1:5" ht="18.75" customHeight="1" x14ac:dyDescent="0.25">
      <c r="A26" s="258" t="s">
        <v>361</v>
      </c>
      <c r="B26" s="259">
        <v>137</v>
      </c>
      <c r="C26" s="260"/>
      <c r="D26" s="257"/>
      <c r="E26" s="261"/>
    </row>
    <row r="27" spans="1:5" ht="18.75" customHeight="1" x14ac:dyDescent="0.25">
      <c r="A27" s="258" t="s">
        <v>362</v>
      </c>
      <c r="B27" s="259">
        <v>139</v>
      </c>
      <c r="C27" s="260"/>
      <c r="D27" s="257"/>
      <c r="E27" s="261"/>
    </row>
    <row r="28" spans="1:5" ht="18.75" customHeight="1" x14ac:dyDescent="0.25">
      <c r="A28" s="263" t="s">
        <v>8</v>
      </c>
      <c r="B28" s="256">
        <v>140</v>
      </c>
      <c r="C28" s="260"/>
      <c r="D28" s="255"/>
      <c r="E28" s="255"/>
    </row>
    <row r="29" spans="1:5" ht="18.75" customHeight="1" x14ac:dyDescent="0.25">
      <c r="A29" s="264" t="s">
        <v>100</v>
      </c>
      <c r="B29" s="260">
        <v>141</v>
      </c>
      <c r="C29" s="260"/>
      <c r="D29" s="257"/>
      <c r="E29" s="257"/>
    </row>
    <row r="30" spans="1:5" ht="18.75" customHeight="1" x14ac:dyDescent="0.25">
      <c r="A30" s="264" t="s">
        <v>101</v>
      </c>
      <c r="B30" s="260">
        <v>149</v>
      </c>
      <c r="C30" s="260"/>
      <c r="D30" s="257"/>
      <c r="E30" s="261"/>
    </row>
    <row r="31" spans="1:5" ht="18.75" customHeight="1" x14ac:dyDescent="0.25">
      <c r="A31" s="252" t="s">
        <v>9</v>
      </c>
      <c r="B31" s="253">
        <v>150</v>
      </c>
      <c r="C31" s="256"/>
      <c r="D31" s="255"/>
      <c r="E31" s="261"/>
    </row>
    <row r="32" spans="1:5" ht="18.75" customHeight="1" x14ac:dyDescent="0.25">
      <c r="A32" s="258" t="s">
        <v>102</v>
      </c>
      <c r="B32" s="259">
        <v>151</v>
      </c>
      <c r="C32" s="260"/>
      <c r="D32" s="257"/>
      <c r="E32" s="261"/>
    </row>
    <row r="33" spans="1:5" ht="18.75" customHeight="1" x14ac:dyDescent="0.25">
      <c r="A33" s="258" t="s">
        <v>103</v>
      </c>
      <c r="B33" s="259">
        <v>152</v>
      </c>
      <c r="C33" s="260"/>
      <c r="D33" s="257"/>
      <c r="E33" s="261"/>
    </row>
    <row r="34" spans="1:5" ht="18.75" customHeight="1" x14ac:dyDescent="0.25">
      <c r="A34" s="258" t="s">
        <v>104</v>
      </c>
      <c r="B34" s="259">
        <v>153</v>
      </c>
      <c r="C34" s="260"/>
      <c r="D34" s="257"/>
      <c r="E34" s="261"/>
    </row>
    <row r="35" spans="1:5" ht="18.75" customHeight="1" x14ac:dyDescent="0.25">
      <c r="A35" s="258" t="s">
        <v>363</v>
      </c>
      <c r="B35" s="259">
        <v>154</v>
      </c>
      <c r="C35" s="260"/>
      <c r="D35" s="257"/>
      <c r="E35" s="261"/>
    </row>
    <row r="36" spans="1:5" ht="18.75" customHeight="1" x14ac:dyDescent="0.25">
      <c r="A36" s="265" t="s">
        <v>105</v>
      </c>
      <c r="B36" s="266">
        <v>155</v>
      </c>
      <c r="C36" s="267"/>
      <c r="D36" s="268"/>
      <c r="E36" s="269"/>
    </row>
    <row r="37" spans="1:5" ht="18.75" customHeight="1" x14ac:dyDescent="0.25">
      <c r="A37" s="270"/>
      <c r="B37" s="271"/>
      <c r="C37" s="272"/>
      <c r="D37" s="273"/>
      <c r="E37" s="274"/>
    </row>
    <row r="38" spans="1:5" ht="18.75" customHeight="1" x14ac:dyDescent="0.25">
      <c r="A38" s="252" t="s">
        <v>364</v>
      </c>
      <c r="B38" s="253">
        <v>200</v>
      </c>
      <c r="C38" s="249"/>
      <c r="D38" s="275"/>
      <c r="E38" s="275"/>
    </row>
    <row r="39" spans="1:5" ht="18.75" customHeight="1" x14ac:dyDescent="0.25">
      <c r="A39" s="252" t="s">
        <v>106</v>
      </c>
      <c r="B39" s="253">
        <v>210</v>
      </c>
      <c r="C39" s="256"/>
      <c r="D39" s="257"/>
      <c r="E39" s="276"/>
    </row>
    <row r="40" spans="1:5" ht="18.75" customHeight="1" x14ac:dyDescent="0.25">
      <c r="A40" s="264" t="s">
        <v>107</v>
      </c>
      <c r="B40" s="259">
        <v>211</v>
      </c>
      <c r="C40" s="260"/>
      <c r="D40" s="257"/>
      <c r="E40" s="261"/>
    </row>
    <row r="41" spans="1:5" ht="18.75" customHeight="1" x14ac:dyDescent="0.25">
      <c r="A41" s="264" t="s">
        <v>365</v>
      </c>
      <c r="B41" s="259">
        <v>212</v>
      </c>
      <c r="C41" s="260"/>
      <c r="D41" s="257"/>
      <c r="E41" s="261"/>
    </row>
    <row r="42" spans="1:5" ht="18.75" customHeight="1" x14ac:dyDescent="0.25">
      <c r="A42" s="264" t="s">
        <v>366</v>
      </c>
      <c r="B42" s="259">
        <v>213</v>
      </c>
      <c r="C42" s="260"/>
      <c r="D42" s="257"/>
      <c r="E42" s="261"/>
    </row>
    <row r="43" spans="1:5" ht="18.75" customHeight="1" x14ac:dyDescent="0.25">
      <c r="A43" s="264" t="s">
        <v>367</v>
      </c>
      <c r="B43" s="259">
        <v>214</v>
      </c>
      <c r="C43" s="260"/>
      <c r="D43" s="257"/>
      <c r="E43" s="261"/>
    </row>
    <row r="44" spans="1:5" ht="18.75" customHeight="1" x14ac:dyDescent="0.25">
      <c r="A44" s="264" t="s">
        <v>368</v>
      </c>
      <c r="B44" s="259">
        <v>215</v>
      </c>
      <c r="C44" s="260"/>
      <c r="D44" s="257"/>
      <c r="E44" s="261"/>
    </row>
    <row r="45" spans="1:5" ht="18.75" customHeight="1" x14ac:dyDescent="0.25">
      <c r="A45" s="264" t="s">
        <v>369</v>
      </c>
      <c r="B45" s="259">
        <v>216</v>
      </c>
      <c r="C45" s="260"/>
      <c r="D45" s="257"/>
      <c r="E45" s="261"/>
    </row>
    <row r="46" spans="1:5" ht="18.75" customHeight="1" x14ac:dyDescent="0.25">
      <c r="A46" s="264" t="s">
        <v>370</v>
      </c>
      <c r="B46" s="259">
        <v>219</v>
      </c>
      <c r="C46" s="260"/>
      <c r="D46" s="257"/>
      <c r="E46" s="261"/>
    </row>
    <row r="47" spans="1:5" ht="18.75" customHeight="1" x14ac:dyDescent="0.25">
      <c r="A47" s="252" t="s">
        <v>108</v>
      </c>
      <c r="B47" s="253">
        <v>220</v>
      </c>
      <c r="C47" s="256"/>
      <c r="D47" s="255"/>
      <c r="E47" s="276"/>
    </row>
    <row r="48" spans="1:5" ht="18.75" customHeight="1" x14ac:dyDescent="0.25">
      <c r="A48" s="258" t="s">
        <v>109</v>
      </c>
      <c r="B48" s="259">
        <v>221</v>
      </c>
      <c r="C48" s="260"/>
      <c r="D48" s="255"/>
      <c r="E48" s="261"/>
    </row>
    <row r="49" spans="1:5" ht="18.75" customHeight="1" x14ac:dyDescent="0.25">
      <c r="A49" s="258" t="s">
        <v>110</v>
      </c>
      <c r="B49" s="259">
        <v>222</v>
      </c>
      <c r="C49" s="260"/>
      <c r="D49" s="257"/>
      <c r="E49" s="261"/>
    </row>
    <row r="50" spans="1:5" ht="18.75" customHeight="1" x14ac:dyDescent="0.25">
      <c r="A50" s="258" t="s">
        <v>111</v>
      </c>
      <c r="B50" s="259">
        <v>223</v>
      </c>
      <c r="C50" s="260"/>
      <c r="D50" s="257"/>
      <c r="E50" s="261"/>
    </row>
    <row r="51" spans="1:5" ht="18.75" customHeight="1" x14ac:dyDescent="0.25">
      <c r="A51" s="258" t="s">
        <v>112</v>
      </c>
      <c r="B51" s="259">
        <v>224</v>
      </c>
      <c r="C51" s="260"/>
      <c r="D51" s="257"/>
      <c r="E51" s="276"/>
    </row>
    <row r="52" spans="1:5" ht="18.75" customHeight="1" x14ac:dyDescent="0.25">
      <c r="A52" s="258" t="s">
        <v>110</v>
      </c>
      <c r="B52" s="259">
        <v>225</v>
      </c>
      <c r="C52" s="260"/>
      <c r="D52" s="257"/>
      <c r="E52" s="261"/>
    </row>
    <row r="53" spans="1:5" ht="18.75" customHeight="1" x14ac:dyDescent="0.25">
      <c r="A53" s="258" t="s">
        <v>111</v>
      </c>
      <c r="B53" s="259">
        <v>226</v>
      </c>
      <c r="C53" s="260"/>
      <c r="D53" s="257"/>
      <c r="E53" s="261"/>
    </row>
    <row r="54" spans="1:5" ht="18.75" customHeight="1" x14ac:dyDescent="0.25">
      <c r="A54" s="258" t="s">
        <v>113</v>
      </c>
      <c r="B54" s="259">
        <v>227</v>
      </c>
      <c r="C54" s="260"/>
      <c r="D54" s="257"/>
      <c r="E54" s="261"/>
    </row>
    <row r="55" spans="1:5" ht="18.75" customHeight="1" x14ac:dyDescent="0.25">
      <c r="A55" s="258" t="s">
        <v>110</v>
      </c>
      <c r="B55" s="259">
        <v>228</v>
      </c>
      <c r="C55" s="260"/>
      <c r="D55" s="257"/>
      <c r="E55" s="261"/>
    </row>
    <row r="56" spans="1:5" ht="18.75" customHeight="1" x14ac:dyDescent="0.25">
      <c r="A56" s="258" t="s">
        <v>111</v>
      </c>
      <c r="B56" s="259">
        <v>229</v>
      </c>
      <c r="C56" s="260"/>
      <c r="D56" s="257"/>
      <c r="E56" s="261"/>
    </row>
    <row r="57" spans="1:5" ht="18.75" customHeight="1" x14ac:dyDescent="0.25">
      <c r="A57" s="252" t="s">
        <v>115</v>
      </c>
      <c r="B57" s="253">
        <v>230</v>
      </c>
      <c r="C57" s="260"/>
      <c r="D57" s="257"/>
      <c r="E57" s="261"/>
    </row>
    <row r="58" spans="1:5" ht="18.75" customHeight="1" x14ac:dyDescent="0.25">
      <c r="A58" s="258" t="s">
        <v>110</v>
      </c>
      <c r="B58" s="259">
        <v>231</v>
      </c>
      <c r="C58" s="256"/>
      <c r="D58" s="255"/>
      <c r="E58" s="276"/>
    </row>
    <row r="59" spans="1:5" ht="18.75" customHeight="1" x14ac:dyDescent="0.25">
      <c r="A59" s="258" t="s">
        <v>111</v>
      </c>
      <c r="B59" s="259">
        <v>232</v>
      </c>
      <c r="C59" s="260"/>
      <c r="D59" s="257"/>
      <c r="E59" s="261"/>
    </row>
    <row r="60" spans="1:5" ht="18.75" customHeight="1" x14ac:dyDescent="0.25">
      <c r="A60" s="252" t="s">
        <v>371</v>
      </c>
      <c r="B60" s="253">
        <v>240</v>
      </c>
      <c r="C60" s="260"/>
      <c r="D60" s="257"/>
      <c r="E60" s="261"/>
    </row>
    <row r="61" spans="1:5" ht="18.75" customHeight="1" x14ac:dyDescent="0.25">
      <c r="A61" s="258" t="s">
        <v>372</v>
      </c>
      <c r="B61" s="259">
        <v>241</v>
      </c>
      <c r="C61" s="260"/>
      <c r="D61" s="257"/>
      <c r="E61" s="261"/>
    </row>
    <row r="62" spans="1:5" ht="18.75" customHeight="1" x14ac:dyDescent="0.25">
      <c r="A62" s="258" t="s">
        <v>373</v>
      </c>
      <c r="B62" s="259">
        <v>242</v>
      </c>
      <c r="C62" s="260"/>
      <c r="D62" s="257"/>
      <c r="E62" s="261"/>
    </row>
    <row r="63" spans="1:5" ht="18.75" customHeight="1" x14ac:dyDescent="0.25">
      <c r="A63" s="252" t="s">
        <v>374</v>
      </c>
      <c r="B63" s="253">
        <v>250</v>
      </c>
      <c r="C63" s="260"/>
      <c r="D63" s="257"/>
      <c r="E63" s="261"/>
    </row>
    <row r="64" spans="1:5" ht="18.75" customHeight="1" x14ac:dyDescent="0.25">
      <c r="A64" s="258" t="s">
        <v>116</v>
      </c>
      <c r="B64" s="259">
        <v>251</v>
      </c>
      <c r="C64" s="256"/>
      <c r="D64" s="255"/>
      <c r="E64" s="276"/>
    </row>
    <row r="65" spans="1:5" ht="18.75" customHeight="1" x14ac:dyDescent="0.25">
      <c r="A65" s="258" t="s">
        <v>375</v>
      </c>
      <c r="B65" s="259">
        <v>252</v>
      </c>
      <c r="C65" s="260"/>
      <c r="D65" s="257"/>
      <c r="E65" s="261"/>
    </row>
    <row r="66" spans="1:5" ht="23.25" customHeight="1" x14ac:dyDescent="0.25">
      <c r="A66" s="258" t="s">
        <v>376</v>
      </c>
      <c r="B66" s="259">
        <v>253</v>
      </c>
      <c r="C66" s="260"/>
      <c r="D66" s="257"/>
      <c r="E66" s="261"/>
    </row>
    <row r="67" spans="1:5" ht="18.75" customHeight="1" x14ac:dyDescent="0.25">
      <c r="A67" s="258" t="s">
        <v>377</v>
      </c>
      <c r="B67" s="259">
        <v>254</v>
      </c>
      <c r="C67" s="260"/>
      <c r="D67" s="257"/>
      <c r="E67" s="261"/>
    </row>
    <row r="68" spans="1:5" ht="18.75" customHeight="1" x14ac:dyDescent="0.25">
      <c r="A68" s="258" t="s">
        <v>378</v>
      </c>
      <c r="B68" s="259">
        <v>255</v>
      </c>
      <c r="C68" s="260"/>
      <c r="D68" s="257"/>
      <c r="E68" s="261"/>
    </row>
    <row r="69" spans="1:5" ht="18.75" customHeight="1" x14ac:dyDescent="0.25">
      <c r="A69" s="252" t="s">
        <v>117</v>
      </c>
      <c r="B69" s="253">
        <v>260</v>
      </c>
      <c r="C69" s="260"/>
      <c r="D69" s="255"/>
      <c r="E69" s="255"/>
    </row>
    <row r="70" spans="1:5" ht="18.75" customHeight="1" x14ac:dyDescent="0.25">
      <c r="A70" s="258" t="s">
        <v>118</v>
      </c>
      <c r="B70" s="259">
        <v>261</v>
      </c>
      <c r="C70" s="260"/>
      <c r="D70" s="257"/>
      <c r="E70" s="257"/>
    </row>
    <row r="71" spans="1:5" ht="18.75" customHeight="1" x14ac:dyDescent="0.25">
      <c r="A71" s="277" t="s">
        <v>119</v>
      </c>
      <c r="B71" s="259">
        <v>262</v>
      </c>
      <c r="C71" s="260"/>
      <c r="D71" s="257"/>
      <c r="E71" s="257"/>
    </row>
    <row r="72" spans="1:5" ht="18.75" customHeight="1" x14ac:dyDescent="0.25">
      <c r="A72" s="277" t="s">
        <v>379</v>
      </c>
      <c r="B72" s="259">
        <v>263</v>
      </c>
      <c r="C72" s="260"/>
      <c r="D72" s="257"/>
      <c r="E72" s="261"/>
    </row>
    <row r="73" spans="1:5" ht="18.75" customHeight="1" x14ac:dyDescent="0.25">
      <c r="A73" s="278" t="s">
        <v>120</v>
      </c>
      <c r="B73" s="266">
        <v>268</v>
      </c>
      <c r="C73" s="267"/>
      <c r="D73" s="268"/>
      <c r="E73" s="269"/>
    </row>
    <row r="74" spans="1:5" ht="18.75" customHeight="1" x14ac:dyDescent="0.25">
      <c r="A74" s="271"/>
      <c r="B74" s="271"/>
      <c r="C74" s="272"/>
      <c r="D74" s="273"/>
      <c r="E74" s="274"/>
    </row>
    <row r="75" spans="1:5" ht="18.75" customHeight="1" x14ac:dyDescent="0.25">
      <c r="A75" s="279" t="s">
        <v>176</v>
      </c>
      <c r="B75" s="279">
        <v>270</v>
      </c>
      <c r="C75" s="280"/>
      <c r="D75" s="281"/>
      <c r="E75" s="281"/>
    </row>
    <row r="76" spans="1:5" ht="18.75" customHeight="1" x14ac:dyDescent="0.25">
      <c r="A76" s="282"/>
      <c r="B76" s="282"/>
      <c r="C76" s="283"/>
      <c r="D76" s="284"/>
      <c r="E76" s="285"/>
    </row>
    <row r="77" spans="1:5" ht="18.75" customHeight="1" x14ac:dyDescent="0.25">
      <c r="A77" s="282"/>
      <c r="B77" s="282"/>
      <c r="C77" s="283"/>
      <c r="D77" s="286"/>
      <c r="E77" s="287"/>
    </row>
    <row r="78" spans="1:5" ht="18.75" customHeight="1" x14ac:dyDescent="0.25">
      <c r="A78" s="288"/>
      <c r="B78" s="289"/>
      <c r="C78" s="289"/>
      <c r="D78" s="290"/>
      <c r="E78" s="291"/>
    </row>
    <row r="79" spans="1:5" ht="18.75" customHeight="1" x14ac:dyDescent="0.25">
      <c r="A79" s="242" t="s">
        <v>10</v>
      </c>
      <c r="B79" s="242" t="s">
        <v>5</v>
      </c>
      <c r="C79" s="243" t="s">
        <v>13</v>
      </c>
      <c r="D79" s="292" t="s">
        <v>128</v>
      </c>
      <c r="E79" s="292" t="s">
        <v>127</v>
      </c>
    </row>
    <row r="80" spans="1:5" ht="18.75" customHeight="1" x14ac:dyDescent="0.25">
      <c r="A80" s="247"/>
      <c r="B80" s="248"/>
      <c r="C80" s="249"/>
      <c r="D80" s="293"/>
      <c r="E80" s="293"/>
    </row>
    <row r="81" spans="1:5" ht="18.75" customHeight="1" x14ac:dyDescent="0.25">
      <c r="A81" s="252" t="s">
        <v>380</v>
      </c>
      <c r="B81" s="253">
        <v>300</v>
      </c>
      <c r="C81" s="254"/>
      <c r="D81" s="255"/>
      <c r="E81" s="255"/>
    </row>
    <row r="82" spans="1:5" ht="18.75" customHeight="1" x14ac:dyDescent="0.25">
      <c r="A82" s="252" t="s">
        <v>11</v>
      </c>
      <c r="B82" s="253">
        <v>310</v>
      </c>
      <c r="C82" s="256"/>
      <c r="D82" s="255"/>
      <c r="E82" s="255"/>
    </row>
    <row r="83" spans="1:5" ht="18.75" customHeight="1" x14ac:dyDescent="0.25">
      <c r="A83" s="258" t="s">
        <v>381</v>
      </c>
      <c r="B83" s="259">
        <v>311</v>
      </c>
      <c r="C83" s="260"/>
      <c r="D83" s="257"/>
      <c r="E83" s="261"/>
    </row>
    <row r="84" spans="1:5" ht="18.75" customHeight="1" x14ac:dyDescent="0.25">
      <c r="A84" s="258" t="s">
        <v>382</v>
      </c>
      <c r="B84" s="259">
        <v>312</v>
      </c>
      <c r="C84" s="260"/>
      <c r="D84" s="257"/>
      <c r="E84" s="261"/>
    </row>
    <row r="85" spans="1:5" ht="18.75" customHeight="1" x14ac:dyDescent="0.25">
      <c r="A85" s="258" t="s">
        <v>383</v>
      </c>
      <c r="B85" s="259">
        <v>313</v>
      </c>
      <c r="C85" s="260"/>
      <c r="D85" s="257"/>
      <c r="E85" s="261"/>
    </row>
    <row r="86" spans="1:5" ht="18.75" customHeight="1" x14ac:dyDescent="0.25">
      <c r="A86" s="258" t="s">
        <v>384</v>
      </c>
      <c r="B86" s="259">
        <v>314</v>
      </c>
      <c r="C86" s="260"/>
      <c r="D86" s="257"/>
      <c r="E86" s="261"/>
    </row>
    <row r="87" spans="1:5" ht="18.75" customHeight="1" x14ac:dyDescent="0.25">
      <c r="A87" s="258" t="s">
        <v>426</v>
      </c>
      <c r="B87" s="259">
        <v>315</v>
      </c>
      <c r="C87" s="260"/>
      <c r="D87" s="164"/>
      <c r="E87" s="261"/>
    </row>
    <row r="88" spans="1:5" ht="18.75" customHeight="1" x14ac:dyDescent="0.25">
      <c r="A88" s="258" t="s">
        <v>385</v>
      </c>
      <c r="B88" s="259">
        <v>316</v>
      </c>
      <c r="C88" s="260"/>
      <c r="D88" s="257"/>
      <c r="E88" s="294"/>
    </row>
    <row r="89" spans="1:5" ht="18.75" customHeight="1" x14ac:dyDescent="0.25">
      <c r="A89" s="258" t="s">
        <v>386</v>
      </c>
      <c r="B89" s="259">
        <v>317</v>
      </c>
      <c r="C89" s="260"/>
      <c r="D89" s="295"/>
      <c r="E89" s="296"/>
    </row>
    <row r="90" spans="1:5" ht="18.75" customHeight="1" x14ac:dyDescent="0.25">
      <c r="A90" s="258" t="s">
        <v>387</v>
      </c>
      <c r="B90" s="259">
        <v>318</v>
      </c>
      <c r="C90" s="260"/>
      <c r="D90" s="257"/>
      <c r="E90" s="294"/>
    </row>
    <row r="91" spans="1:5" ht="18.75" customHeight="1" x14ac:dyDescent="0.25">
      <c r="A91" s="258" t="s">
        <v>388</v>
      </c>
      <c r="B91" s="259">
        <v>319</v>
      </c>
      <c r="C91" s="260"/>
      <c r="D91" s="257"/>
      <c r="E91" s="261"/>
    </row>
    <row r="92" spans="1:5" ht="18.75" customHeight="1" x14ac:dyDescent="0.25">
      <c r="A92" s="258" t="s">
        <v>389</v>
      </c>
      <c r="B92" s="259">
        <v>320</v>
      </c>
      <c r="C92" s="256"/>
      <c r="D92" s="257"/>
      <c r="E92" s="261"/>
    </row>
    <row r="93" spans="1:5" ht="18.75" customHeight="1" x14ac:dyDescent="0.25">
      <c r="A93" s="258" t="s">
        <v>390</v>
      </c>
      <c r="B93" s="259">
        <v>321</v>
      </c>
      <c r="C93" s="256"/>
      <c r="D93" s="257"/>
      <c r="E93" s="261"/>
    </row>
    <row r="94" spans="1:5" ht="18.75" customHeight="1" x14ac:dyDescent="0.25">
      <c r="A94" s="258" t="s">
        <v>391</v>
      </c>
      <c r="B94" s="259">
        <v>322</v>
      </c>
      <c r="C94" s="256"/>
      <c r="D94" s="257"/>
      <c r="E94" s="261"/>
    </row>
    <row r="95" spans="1:5" ht="18.75" customHeight="1" x14ac:dyDescent="0.25">
      <c r="A95" s="258" t="s">
        <v>392</v>
      </c>
      <c r="B95" s="259">
        <v>323</v>
      </c>
      <c r="C95" s="256"/>
      <c r="D95" s="257"/>
      <c r="E95" s="261"/>
    </row>
    <row r="96" spans="1:5" ht="18.75" customHeight="1" x14ac:dyDescent="0.25">
      <c r="A96" s="258" t="s">
        <v>393</v>
      </c>
      <c r="B96" s="259">
        <v>324</v>
      </c>
      <c r="C96" s="256"/>
      <c r="D96" s="257"/>
      <c r="E96" s="261"/>
    </row>
    <row r="97" spans="1:5" ht="18.75" customHeight="1" x14ac:dyDescent="0.25">
      <c r="A97" s="252" t="s">
        <v>121</v>
      </c>
      <c r="B97" s="253">
        <v>330</v>
      </c>
      <c r="C97" s="256"/>
      <c r="D97" s="255"/>
      <c r="E97" s="255"/>
    </row>
    <row r="98" spans="1:5" ht="18.75" customHeight="1" x14ac:dyDescent="0.25">
      <c r="A98" s="258" t="s">
        <v>394</v>
      </c>
      <c r="B98" s="259">
        <v>331</v>
      </c>
      <c r="C98" s="260"/>
      <c r="D98" s="257"/>
      <c r="E98" s="261"/>
    </row>
    <row r="99" spans="1:5" ht="18.75" customHeight="1" x14ac:dyDescent="0.25">
      <c r="A99" s="258" t="s">
        <v>395</v>
      </c>
      <c r="B99" s="259">
        <v>332</v>
      </c>
      <c r="C99" s="260"/>
      <c r="D99" s="257"/>
      <c r="E99" s="261"/>
    </row>
    <row r="100" spans="1:5" ht="18.75" customHeight="1" x14ac:dyDescent="0.25">
      <c r="A100" s="258" t="s">
        <v>396</v>
      </c>
      <c r="B100" s="259">
        <v>333</v>
      </c>
      <c r="C100" s="260"/>
      <c r="D100" s="257"/>
      <c r="E100" s="261"/>
    </row>
    <row r="101" spans="1:5" ht="18.75" customHeight="1" x14ac:dyDescent="0.25">
      <c r="A101" s="258" t="s">
        <v>397</v>
      </c>
      <c r="B101" s="259">
        <v>334</v>
      </c>
      <c r="C101" s="260"/>
      <c r="D101" s="257"/>
      <c r="E101" s="261"/>
    </row>
    <row r="102" spans="1:5" ht="18.75" customHeight="1" x14ac:dyDescent="0.25">
      <c r="A102" s="258" t="s">
        <v>398</v>
      </c>
      <c r="B102" s="259">
        <v>335</v>
      </c>
      <c r="C102" s="260"/>
      <c r="D102" s="257"/>
      <c r="E102" s="261"/>
    </row>
    <row r="103" spans="1:5" ht="18.75" customHeight="1" x14ac:dyDescent="0.25">
      <c r="A103" s="258" t="s">
        <v>399</v>
      </c>
      <c r="B103" s="259">
        <v>336</v>
      </c>
      <c r="C103" s="260"/>
      <c r="D103" s="257"/>
      <c r="E103" s="261"/>
    </row>
    <row r="104" spans="1:5" ht="18.75" customHeight="1" x14ac:dyDescent="0.25">
      <c r="A104" s="258" t="s">
        <v>400</v>
      </c>
      <c r="B104" s="259">
        <v>337</v>
      </c>
      <c r="C104" s="260"/>
      <c r="D104" s="257"/>
      <c r="E104" s="261"/>
    </row>
    <row r="105" spans="1:5" ht="18.75" customHeight="1" x14ac:dyDescent="0.25">
      <c r="A105" s="258" t="s">
        <v>401</v>
      </c>
      <c r="B105" s="259">
        <v>338</v>
      </c>
      <c r="C105" s="260"/>
      <c r="D105" s="257"/>
      <c r="E105" s="261"/>
    </row>
    <row r="106" spans="1:5" ht="18.75" customHeight="1" x14ac:dyDescent="0.25">
      <c r="A106" s="258" t="s">
        <v>402</v>
      </c>
      <c r="B106" s="259">
        <v>339</v>
      </c>
      <c r="C106" s="260"/>
      <c r="D106" s="257"/>
      <c r="E106" s="261"/>
    </row>
    <row r="107" spans="1:5" ht="18.75" customHeight="1" x14ac:dyDescent="0.25">
      <c r="A107" s="258" t="s">
        <v>403</v>
      </c>
      <c r="B107" s="259">
        <v>340</v>
      </c>
      <c r="C107" s="260"/>
      <c r="D107" s="257"/>
      <c r="E107" s="261"/>
    </row>
    <row r="108" spans="1:5" ht="18.75" customHeight="1" x14ac:dyDescent="0.25">
      <c r="A108" s="258" t="s">
        <v>404</v>
      </c>
      <c r="B108" s="259">
        <v>341</v>
      </c>
      <c r="C108" s="260"/>
      <c r="D108" s="257"/>
      <c r="E108" s="261"/>
    </row>
    <row r="109" spans="1:5" ht="17.25" customHeight="1" x14ac:dyDescent="0.25">
      <c r="A109" s="258" t="s">
        <v>405</v>
      </c>
      <c r="B109" s="259">
        <v>342</v>
      </c>
      <c r="C109" s="260"/>
      <c r="D109" s="257"/>
      <c r="E109" s="261"/>
    </row>
    <row r="110" spans="1:5" ht="18.75" customHeight="1" x14ac:dyDescent="0.25">
      <c r="A110" s="265" t="s">
        <v>406</v>
      </c>
      <c r="B110" s="266">
        <v>343</v>
      </c>
      <c r="C110" s="267"/>
      <c r="D110" s="268"/>
      <c r="E110" s="269"/>
    </row>
    <row r="111" spans="1:5" ht="20.25" customHeight="1" x14ac:dyDescent="0.25">
      <c r="A111" s="297" t="s">
        <v>122</v>
      </c>
      <c r="B111" s="298">
        <v>400</v>
      </c>
      <c r="C111" s="299"/>
      <c r="D111" s="300"/>
      <c r="E111" s="300"/>
    </row>
    <row r="112" spans="1:5" ht="20.25" customHeight="1" x14ac:dyDescent="0.25">
      <c r="A112" s="252" t="s">
        <v>12</v>
      </c>
      <c r="B112" s="253">
        <v>410</v>
      </c>
      <c r="C112" s="260"/>
      <c r="D112" s="255"/>
      <c r="E112" s="255"/>
    </row>
    <row r="113" spans="1:5" ht="20.25" customHeight="1" x14ac:dyDescent="0.25">
      <c r="A113" s="258" t="s">
        <v>407</v>
      </c>
      <c r="B113" s="259">
        <v>411</v>
      </c>
      <c r="C113" s="260"/>
      <c r="D113" s="257"/>
      <c r="E113" s="261"/>
    </row>
    <row r="114" spans="1:5" ht="20.25" customHeight="1" x14ac:dyDescent="0.25">
      <c r="A114" s="301" t="s">
        <v>408</v>
      </c>
      <c r="B114" s="302" t="s">
        <v>409</v>
      </c>
      <c r="C114" s="260"/>
      <c r="D114" s="257"/>
      <c r="E114" s="261"/>
    </row>
    <row r="115" spans="1:5" ht="20.25" customHeight="1" x14ac:dyDescent="0.25">
      <c r="A115" s="301" t="s">
        <v>410</v>
      </c>
      <c r="B115" s="302" t="s">
        <v>411</v>
      </c>
      <c r="C115" s="260"/>
      <c r="D115" s="257"/>
      <c r="E115" s="261"/>
    </row>
    <row r="116" spans="1:5" ht="20.25" customHeight="1" x14ac:dyDescent="0.25">
      <c r="A116" s="258" t="s">
        <v>123</v>
      </c>
      <c r="B116" s="259">
        <v>412</v>
      </c>
      <c r="C116" s="260"/>
      <c r="D116" s="257"/>
      <c r="E116" s="261"/>
    </row>
    <row r="117" spans="1:5" ht="20.25" customHeight="1" x14ac:dyDescent="0.25">
      <c r="A117" s="258" t="s">
        <v>412</v>
      </c>
      <c r="B117" s="259">
        <v>413</v>
      </c>
      <c r="C117" s="260"/>
      <c r="D117" s="257"/>
      <c r="E117" s="261"/>
    </row>
    <row r="118" spans="1:5" ht="20.25" customHeight="1" x14ac:dyDescent="0.25">
      <c r="A118" s="277" t="s">
        <v>413</v>
      </c>
      <c r="B118" s="259">
        <v>414</v>
      </c>
      <c r="C118" s="303"/>
      <c r="D118" s="257"/>
      <c r="E118" s="261"/>
    </row>
    <row r="119" spans="1:5" ht="20.25" customHeight="1" x14ac:dyDescent="0.25">
      <c r="A119" s="258" t="s">
        <v>414</v>
      </c>
      <c r="B119" s="259">
        <v>415</v>
      </c>
      <c r="C119" s="260"/>
      <c r="D119" s="257"/>
      <c r="E119" s="261"/>
    </row>
    <row r="120" spans="1:5" ht="20.25" customHeight="1" x14ac:dyDescent="0.25">
      <c r="A120" s="258" t="s">
        <v>415</v>
      </c>
      <c r="B120" s="259">
        <v>416</v>
      </c>
      <c r="C120" s="260"/>
      <c r="D120" s="257"/>
      <c r="E120" s="261"/>
    </row>
    <row r="121" spans="1:5" ht="20.25" customHeight="1" x14ac:dyDescent="0.25">
      <c r="A121" s="258" t="s">
        <v>416</v>
      </c>
      <c r="B121" s="259">
        <v>417</v>
      </c>
      <c r="C121" s="260"/>
      <c r="D121" s="257"/>
      <c r="E121" s="261"/>
    </row>
    <row r="122" spans="1:5" ht="20.25" customHeight="1" x14ac:dyDescent="0.25">
      <c r="A122" s="258" t="s">
        <v>417</v>
      </c>
      <c r="B122" s="259">
        <v>418</v>
      </c>
      <c r="C122" s="260"/>
      <c r="D122" s="257"/>
      <c r="E122" s="261"/>
    </row>
    <row r="123" spans="1:5" ht="20.25" customHeight="1" x14ac:dyDescent="0.25">
      <c r="A123" s="258" t="s">
        <v>418</v>
      </c>
      <c r="B123" s="259">
        <v>419</v>
      </c>
      <c r="C123" s="260"/>
      <c r="D123" s="257"/>
      <c r="E123" s="261"/>
    </row>
    <row r="124" spans="1:5" ht="20.25" customHeight="1" x14ac:dyDescent="0.25">
      <c r="A124" s="258" t="s">
        <v>419</v>
      </c>
      <c r="B124" s="259">
        <v>420</v>
      </c>
      <c r="C124" s="260"/>
      <c r="D124" s="257"/>
      <c r="E124" s="261"/>
    </row>
    <row r="125" spans="1:5" ht="20.25" customHeight="1" x14ac:dyDescent="0.25">
      <c r="A125" s="258" t="s">
        <v>420</v>
      </c>
      <c r="B125" s="259">
        <v>421</v>
      </c>
      <c r="C125" s="260"/>
      <c r="D125" s="255"/>
      <c r="E125" s="276"/>
    </row>
    <row r="126" spans="1:5" ht="20.25" customHeight="1" x14ac:dyDescent="0.25">
      <c r="A126" s="301" t="s">
        <v>421</v>
      </c>
      <c r="B126" s="302" t="s">
        <v>422</v>
      </c>
      <c r="C126" s="260"/>
      <c r="D126" s="257"/>
      <c r="E126" s="261"/>
    </row>
    <row r="127" spans="1:5" ht="20.25" customHeight="1" x14ac:dyDescent="0.25">
      <c r="A127" s="301" t="s">
        <v>423</v>
      </c>
      <c r="B127" s="302" t="s">
        <v>424</v>
      </c>
      <c r="C127" s="260"/>
      <c r="D127" s="257"/>
      <c r="E127" s="261"/>
    </row>
    <row r="128" spans="1:5" ht="20.25" customHeight="1" x14ac:dyDescent="0.25">
      <c r="A128" s="258" t="s">
        <v>425</v>
      </c>
      <c r="B128" s="259">
        <v>422</v>
      </c>
      <c r="C128" s="260"/>
      <c r="D128" s="257"/>
      <c r="E128" s="261"/>
    </row>
    <row r="129" spans="1:5" s="304" customFormat="1" ht="20.25" customHeight="1" x14ac:dyDescent="0.25">
      <c r="A129" s="263" t="s">
        <v>124</v>
      </c>
      <c r="B129" s="256">
        <v>430</v>
      </c>
      <c r="C129" s="256"/>
      <c r="D129" s="255"/>
      <c r="E129" s="276"/>
    </row>
    <row r="130" spans="1:5" s="304" customFormat="1" ht="20.25" customHeight="1" x14ac:dyDescent="0.25">
      <c r="A130" s="264" t="s">
        <v>61</v>
      </c>
      <c r="B130" s="260">
        <v>432</v>
      </c>
      <c r="C130" s="260"/>
      <c r="D130" s="257"/>
      <c r="E130" s="261"/>
    </row>
    <row r="131" spans="1:5" s="304" customFormat="1" ht="20.25" customHeight="1" x14ac:dyDescent="0.25">
      <c r="A131" s="305" t="s">
        <v>62</v>
      </c>
      <c r="B131" s="267">
        <v>433</v>
      </c>
      <c r="C131" s="267"/>
      <c r="D131" s="268"/>
      <c r="E131" s="306"/>
    </row>
    <row r="132" spans="1:5" x14ac:dyDescent="0.25">
      <c r="A132" s="271"/>
      <c r="B132" s="271"/>
      <c r="C132" s="414"/>
      <c r="D132" s="274"/>
      <c r="E132" s="274"/>
    </row>
    <row r="133" spans="1:5" x14ac:dyDescent="0.25">
      <c r="A133" s="279" t="s">
        <v>177</v>
      </c>
      <c r="B133" s="279">
        <v>440</v>
      </c>
      <c r="C133" s="415"/>
      <c r="D133" s="307"/>
      <c r="E133" s="307"/>
    </row>
    <row r="134" spans="1:5" x14ac:dyDescent="0.25">
      <c r="A134" s="308"/>
      <c r="D134" s="185"/>
    </row>
    <row r="135" spans="1:5" x14ac:dyDescent="0.25">
      <c r="A135" s="309"/>
      <c r="D135" s="109">
        <f>D75-D133</f>
        <v>0</v>
      </c>
      <c r="E135" s="234">
        <f>E133-E75</f>
        <v>0</v>
      </c>
    </row>
    <row r="136" spans="1:5" x14ac:dyDescent="0.25">
      <c r="A136" s="309"/>
    </row>
    <row r="137" spans="1:5" x14ac:dyDescent="0.25">
      <c r="A137" s="309"/>
    </row>
    <row r="138" spans="1:5" x14ac:dyDescent="0.25">
      <c r="D138" s="416" t="str">
        <f>'NKC-Socai'!J131</f>
        <v>Ngày 30 tháng 11 năm 2023</v>
      </c>
      <c r="E138" s="416"/>
    </row>
    <row r="139" spans="1:5" x14ac:dyDescent="0.25">
      <c r="A139" s="288" t="s">
        <v>16</v>
      </c>
      <c r="B139" s="417" t="s">
        <v>125</v>
      </c>
      <c r="C139" s="417"/>
      <c r="D139" s="417" t="s">
        <v>126</v>
      </c>
      <c r="E139" s="417"/>
    </row>
    <row r="140" spans="1:5" x14ac:dyDescent="0.25">
      <c r="A140" s="236"/>
      <c r="B140" s="411"/>
      <c r="C140" s="411"/>
      <c r="D140" s="412"/>
      <c r="E140" s="412"/>
    </row>
    <row r="141" spans="1:5" x14ac:dyDescent="0.25">
      <c r="A141" s="310"/>
    </row>
    <row r="146" spans="2:5" x14ac:dyDescent="0.25">
      <c r="B146" s="67"/>
      <c r="D146" s="413"/>
      <c r="E146" s="413"/>
    </row>
  </sheetData>
  <mergeCells count="7">
    <mergeCell ref="B140:C140"/>
    <mergeCell ref="D140:E140"/>
    <mergeCell ref="D146:E146"/>
    <mergeCell ref="C132:C133"/>
    <mergeCell ref="D138:E138"/>
    <mergeCell ref="B139:C139"/>
    <mergeCell ref="D139:E139"/>
  </mergeCells>
  <phoneticPr fontId="2" type="noConversion"/>
  <pageMargins left="0.35433070866141736" right="0.55118110236220474" top="0.59055118110236227" bottom="0.59055118110236227" header="0.51181102362204722" footer="0.51181102362204722"/>
  <pageSetup paperSize="9" scale="80" fitToHeight="3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G36"/>
  <sheetViews>
    <sheetView topLeftCell="A17" zoomScale="130" zoomScaleNormal="130" workbookViewId="0">
      <selection activeCell="D24" sqref="D24"/>
    </sheetView>
  </sheetViews>
  <sheetFormatPr defaultColWidth="9" defaultRowHeight="15.75" x14ac:dyDescent="0.25"/>
  <cols>
    <col min="1" max="1" width="55" style="63" customWidth="1"/>
    <col min="2" max="2" width="5.125" style="63" customWidth="1"/>
    <col min="3" max="3" width="7" style="63" customWidth="1"/>
    <col min="4" max="5" width="15.75" style="63" customWidth="1"/>
    <col min="6" max="6" width="9" style="63"/>
    <col min="7" max="7" width="19.25" style="63" customWidth="1"/>
    <col min="8" max="16384" width="9" style="63"/>
  </cols>
  <sheetData>
    <row r="1" spans="1:6" s="230" customFormat="1" ht="16.5" customHeight="1" x14ac:dyDescent="0.25">
      <c r="A1" s="63" t="str">
        <f>'NKC-Socai'!B1</f>
        <v>Công ty TNHH Dịch vụ Ngôi Sao</v>
      </c>
      <c r="C1" s="311"/>
      <c r="D1" s="312" t="s">
        <v>57</v>
      </c>
      <c r="E1" s="313"/>
    </row>
    <row r="2" spans="1:6" s="230" customFormat="1" x14ac:dyDescent="0.25">
      <c r="A2" s="63" t="str">
        <f>'NKC-Socai'!B2</f>
        <v>360 Nguyễn Thị Minh Khai, Phường 5, Quận 3, TP.HCM</v>
      </c>
      <c r="B2" s="314"/>
      <c r="C2" s="314"/>
      <c r="D2" s="315"/>
      <c r="E2" s="316"/>
    </row>
    <row r="3" spans="1:6" s="230" customFormat="1" ht="15" x14ac:dyDescent="0.25">
      <c r="A3" s="317"/>
      <c r="B3" s="314"/>
      <c r="C3" s="314"/>
      <c r="D3" s="315"/>
      <c r="E3" s="316"/>
    </row>
    <row r="4" spans="1:6" s="230" customFormat="1" ht="31.5" customHeight="1" x14ac:dyDescent="0.25">
      <c r="A4" s="318" t="s">
        <v>18</v>
      </c>
      <c r="B4" s="318"/>
      <c r="C4" s="318"/>
      <c r="D4" s="318"/>
      <c r="E4" s="318"/>
    </row>
    <row r="5" spans="1:6" s="230" customFormat="1" ht="15" x14ac:dyDescent="0.25">
      <c r="A5" s="319" t="str">
        <f>'NKC-Socai'!B5</f>
        <v>Tháng 11/2023</v>
      </c>
      <c r="B5" s="319"/>
      <c r="C5" s="319"/>
      <c r="D5" s="319"/>
      <c r="E5" s="319"/>
    </row>
    <row r="6" spans="1:6" x14ac:dyDescent="0.25">
      <c r="E6" s="320" t="s">
        <v>146</v>
      </c>
      <c r="F6" s="230"/>
    </row>
    <row r="7" spans="1:6" ht="18" customHeight="1" x14ac:dyDescent="0.25">
      <c r="A7" s="418" t="s">
        <v>19</v>
      </c>
      <c r="B7" s="321" t="s">
        <v>20</v>
      </c>
      <c r="C7" s="321" t="s">
        <v>21</v>
      </c>
      <c r="D7" s="418" t="s">
        <v>22</v>
      </c>
      <c r="E7" s="418" t="s">
        <v>23</v>
      </c>
      <c r="F7" s="230"/>
    </row>
    <row r="8" spans="1:6" x14ac:dyDescent="0.25">
      <c r="A8" s="419"/>
      <c r="B8" s="322" t="s">
        <v>24</v>
      </c>
      <c r="C8" s="322" t="s">
        <v>25</v>
      </c>
      <c r="D8" s="419"/>
      <c r="E8" s="419"/>
      <c r="F8" s="230"/>
    </row>
    <row r="9" spans="1:6" x14ac:dyDescent="0.25">
      <c r="A9" s="323">
        <v>1</v>
      </c>
      <c r="B9" s="324">
        <v>2</v>
      </c>
      <c r="C9" s="324">
        <v>3</v>
      </c>
      <c r="D9" s="324">
        <v>4</v>
      </c>
      <c r="E9" s="324">
        <v>5</v>
      </c>
    </row>
    <row r="10" spans="1:6" x14ac:dyDescent="0.25">
      <c r="A10" s="325" t="s">
        <v>26</v>
      </c>
      <c r="B10" s="326" t="s">
        <v>27</v>
      </c>
      <c r="C10" s="327" t="s">
        <v>28</v>
      </c>
      <c r="D10" s="328"/>
      <c r="E10" s="328"/>
    </row>
    <row r="11" spans="1:6" x14ac:dyDescent="0.25">
      <c r="A11" s="325" t="s">
        <v>29</v>
      </c>
      <c r="B11" s="326" t="s">
        <v>30</v>
      </c>
      <c r="C11" s="327"/>
      <c r="D11" s="328"/>
      <c r="E11" s="328"/>
    </row>
    <row r="12" spans="1:6" ht="30" x14ac:dyDescent="0.25">
      <c r="A12" s="329" t="s">
        <v>31</v>
      </c>
      <c r="B12" s="327">
        <v>10</v>
      </c>
      <c r="C12" s="327"/>
      <c r="D12" s="328"/>
      <c r="E12" s="328"/>
    </row>
    <row r="13" spans="1:6" x14ac:dyDescent="0.25">
      <c r="A13" s="325" t="s">
        <v>32</v>
      </c>
      <c r="B13" s="327">
        <v>11</v>
      </c>
      <c r="C13" s="327" t="s">
        <v>33</v>
      </c>
      <c r="D13" s="328"/>
      <c r="E13" s="328"/>
    </row>
    <row r="14" spans="1:6" ht="30" x14ac:dyDescent="0.25">
      <c r="A14" s="325" t="s">
        <v>34</v>
      </c>
      <c r="B14" s="327">
        <v>20</v>
      </c>
      <c r="C14" s="327"/>
      <c r="D14" s="328"/>
      <c r="E14" s="328"/>
    </row>
    <row r="15" spans="1:6" x14ac:dyDescent="0.25">
      <c r="A15" s="325" t="s">
        <v>35</v>
      </c>
      <c r="B15" s="327">
        <v>21</v>
      </c>
      <c r="C15" s="327" t="s">
        <v>36</v>
      </c>
      <c r="D15" s="328"/>
      <c r="E15" s="328"/>
    </row>
    <row r="16" spans="1:6" x14ac:dyDescent="0.25">
      <c r="A16" s="325" t="s">
        <v>37</v>
      </c>
      <c r="B16" s="327">
        <v>22</v>
      </c>
      <c r="C16" s="327" t="s">
        <v>38</v>
      </c>
      <c r="D16" s="328"/>
      <c r="E16" s="328"/>
    </row>
    <row r="17" spans="1:7" x14ac:dyDescent="0.25">
      <c r="A17" s="325" t="s">
        <v>39</v>
      </c>
      <c r="B17" s="327">
        <v>23</v>
      </c>
      <c r="C17" s="327"/>
      <c r="D17" s="328"/>
      <c r="E17" s="328"/>
    </row>
    <row r="18" spans="1:7" x14ac:dyDescent="0.25">
      <c r="A18" s="325" t="s">
        <v>40</v>
      </c>
      <c r="B18" s="327">
        <v>24</v>
      </c>
      <c r="C18" s="327"/>
      <c r="D18" s="328"/>
      <c r="E18" s="328"/>
    </row>
    <row r="19" spans="1:7" x14ac:dyDescent="0.25">
      <c r="A19" s="325" t="s">
        <v>41</v>
      </c>
      <c r="B19" s="327">
        <v>25</v>
      </c>
      <c r="C19" s="327"/>
      <c r="D19" s="328"/>
      <c r="E19" s="328"/>
    </row>
    <row r="20" spans="1:7" ht="30" x14ac:dyDescent="0.25">
      <c r="A20" s="325" t="s">
        <v>42</v>
      </c>
      <c r="B20" s="327">
        <v>30</v>
      </c>
      <c r="C20" s="327"/>
      <c r="D20" s="328"/>
      <c r="E20" s="328"/>
    </row>
    <row r="21" spans="1:7" x14ac:dyDescent="0.25">
      <c r="A21" s="325" t="s">
        <v>43</v>
      </c>
      <c r="B21" s="327">
        <v>31</v>
      </c>
      <c r="C21" s="327"/>
      <c r="D21" s="328"/>
      <c r="E21" s="328"/>
    </row>
    <row r="22" spans="1:7" x14ac:dyDescent="0.25">
      <c r="A22" s="325" t="s">
        <v>44</v>
      </c>
      <c r="B22" s="327">
        <v>32</v>
      </c>
      <c r="C22" s="327"/>
      <c r="D22" s="328"/>
      <c r="E22" s="328"/>
    </row>
    <row r="23" spans="1:7" x14ac:dyDescent="0.25">
      <c r="A23" s="325" t="s">
        <v>45</v>
      </c>
      <c r="B23" s="327">
        <v>40</v>
      </c>
      <c r="C23" s="327"/>
      <c r="D23" s="328"/>
      <c r="E23" s="328"/>
    </row>
    <row r="24" spans="1:7" ht="30" x14ac:dyDescent="0.25">
      <c r="A24" s="325" t="s">
        <v>46</v>
      </c>
      <c r="B24" s="327">
        <v>50</v>
      </c>
      <c r="C24" s="327"/>
      <c r="D24" s="328"/>
      <c r="E24" s="328"/>
    </row>
    <row r="25" spans="1:7" ht="17.25" customHeight="1" x14ac:dyDescent="0.25">
      <c r="A25" s="325" t="s">
        <v>47</v>
      </c>
      <c r="B25" s="327">
        <v>51</v>
      </c>
      <c r="C25" s="327" t="s">
        <v>48</v>
      </c>
      <c r="D25" s="328"/>
      <c r="E25" s="328"/>
    </row>
    <row r="26" spans="1:7" ht="17.25" customHeight="1" x14ac:dyDescent="0.25">
      <c r="A26" s="325" t="s">
        <v>49</v>
      </c>
      <c r="B26" s="327">
        <v>52</v>
      </c>
      <c r="C26" s="327" t="s">
        <v>48</v>
      </c>
      <c r="D26" s="328"/>
      <c r="E26" s="328"/>
    </row>
    <row r="27" spans="1:7" ht="30" x14ac:dyDescent="0.25">
      <c r="A27" s="325" t="s">
        <v>50</v>
      </c>
      <c r="B27" s="327">
        <v>60</v>
      </c>
      <c r="C27" s="327"/>
      <c r="D27" s="328"/>
      <c r="E27" s="328"/>
      <c r="G27" s="170"/>
    </row>
    <row r="28" spans="1:7" x14ac:dyDescent="0.25">
      <c r="A28" s="330" t="s">
        <v>51</v>
      </c>
      <c r="B28" s="331">
        <v>70</v>
      </c>
      <c r="C28" s="331"/>
      <c r="D28" s="332"/>
      <c r="E28" s="332"/>
    </row>
    <row r="29" spans="1:7" x14ac:dyDescent="0.25">
      <c r="A29" s="309" t="s">
        <v>52</v>
      </c>
    </row>
    <row r="30" spans="1:7" x14ac:dyDescent="0.25">
      <c r="D30" s="420" t="str">
        <f>'NKC-Socai'!J131</f>
        <v>Ngày 30 tháng 11 năm 2023</v>
      </c>
      <c r="E30" s="421"/>
    </row>
    <row r="31" spans="1:7" ht="18" customHeight="1" x14ac:dyDescent="0.25">
      <c r="A31" s="333" t="s">
        <v>53</v>
      </c>
      <c r="D31" s="417" t="s">
        <v>14</v>
      </c>
      <c r="E31" s="417"/>
    </row>
    <row r="32" spans="1:7" x14ac:dyDescent="0.25">
      <c r="A32" s="334"/>
      <c r="B32" s="282"/>
      <c r="D32" s="412"/>
      <c r="E32" s="412"/>
    </row>
    <row r="33" spans="1:6" x14ac:dyDescent="0.25">
      <c r="B33" s="289"/>
    </row>
    <row r="36" spans="1:6" x14ac:dyDescent="0.25">
      <c r="A36" s="335"/>
      <c r="B36" s="336"/>
      <c r="C36" s="72"/>
      <c r="D36" s="337"/>
      <c r="E36" s="337"/>
      <c r="F36" s="338"/>
    </row>
  </sheetData>
  <mergeCells count="6">
    <mergeCell ref="D31:E31"/>
    <mergeCell ref="D32:E32"/>
    <mergeCell ref="A7:A8"/>
    <mergeCell ref="D7:D8"/>
    <mergeCell ref="E7:E8"/>
    <mergeCell ref="D30:E30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78" orientation="portrait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fitToPage="1"/>
  </sheetPr>
  <dimension ref="A1:H45"/>
  <sheetViews>
    <sheetView topLeftCell="A32" zoomScale="130" zoomScaleNormal="130" workbookViewId="0">
      <selection activeCell="E41" sqref="E41:F41"/>
    </sheetView>
  </sheetViews>
  <sheetFormatPr defaultColWidth="9" defaultRowHeight="15.75" x14ac:dyDescent="0.25"/>
  <cols>
    <col min="1" max="1" width="2.875" style="63" customWidth="1"/>
    <col min="2" max="2" width="52.375" style="63" customWidth="1"/>
    <col min="3" max="3" width="7.5" style="63" customWidth="1"/>
    <col min="4" max="4" width="8.25" style="63" customWidth="1"/>
    <col min="5" max="6" width="15.625" style="63" customWidth="1"/>
    <col min="7" max="7" width="14.875" style="63" customWidth="1"/>
    <col min="8" max="16384" width="9" style="63"/>
  </cols>
  <sheetData>
    <row r="1" spans="1:6" x14ac:dyDescent="0.25">
      <c r="B1" s="63" t="str">
        <f>'NKC-Socai'!B1</f>
        <v>Công ty TNHH Dịch vụ Ngôi Sao</v>
      </c>
      <c r="E1" s="339" t="s">
        <v>93</v>
      </c>
    </row>
    <row r="2" spans="1:6" x14ac:dyDescent="0.25">
      <c r="B2" s="63" t="str">
        <f>'NKC-Socai'!B2</f>
        <v>360 Nguyễn Thị Minh Khai, Phường 5, Quận 3, TP.HCM</v>
      </c>
      <c r="E2" s="72"/>
    </row>
    <row r="3" spans="1:6" x14ac:dyDescent="0.25">
      <c r="B3" s="317"/>
      <c r="E3" s="72"/>
    </row>
    <row r="4" spans="1:6" ht="21" customHeight="1" x14ac:dyDescent="0.25">
      <c r="B4" s="340" t="s">
        <v>58</v>
      </c>
      <c r="C4" s="72"/>
      <c r="D4" s="72"/>
      <c r="E4" s="72"/>
      <c r="F4" s="72"/>
    </row>
    <row r="5" spans="1:6" ht="21" customHeight="1" x14ac:dyDescent="0.3">
      <c r="B5" s="341" t="s">
        <v>59</v>
      </c>
      <c r="C5" s="72"/>
      <c r="D5" s="72"/>
      <c r="E5" s="72"/>
      <c r="F5" s="72"/>
    </row>
    <row r="6" spans="1:6" ht="21" customHeight="1" x14ac:dyDescent="0.25">
      <c r="B6" s="319" t="str">
        <f>'NKC-Socai'!B5</f>
        <v>Tháng 11/2023</v>
      </c>
      <c r="C6" s="72"/>
      <c r="D6" s="72"/>
      <c r="E6" s="72"/>
      <c r="F6" s="72"/>
    </row>
    <row r="7" spans="1:6" ht="16.5" x14ac:dyDescent="0.25">
      <c r="D7" s="342"/>
      <c r="F7" s="320" t="s">
        <v>146</v>
      </c>
    </row>
    <row r="8" spans="1:6" ht="28.5" x14ac:dyDescent="0.25">
      <c r="B8" s="343" t="s">
        <v>15</v>
      </c>
      <c r="C8" s="344" t="s">
        <v>5</v>
      </c>
      <c r="D8" s="344" t="s">
        <v>13</v>
      </c>
      <c r="E8" s="344" t="s">
        <v>22</v>
      </c>
      <c r="F8" s="344" t="s">
        <v>23</v>
      </c>
    </row>
    <row r="9" spans="1:6" ht="17.45" customHeight="1" x14ac:dyDescent="0.25">
      <c r="B9" s="345">
        <v>1</v>
      </c>
      <c r="C9" s="345">
        <v>2</v>
      </c>
      <c r="D9" s="345">
        <v>3</v>
      </c>
      <c r="E9" s="345">
        <v>4</v>
      </c>
      <c r="F9" s="345">
        <v>5</v>
      </c>
    </row>
    <row r="10" spans="1:6" ht="17.45" customHeight="1" x14ac:dyDescent="0.25">
      <c r="B10" s="346" t="s">
        <v>60</v>
      </c>
      <c r="C10" s="345"/>
      <c r="D10" s="345"/>
      <c r="E10" s="347"/>
      <c r="F10" s="348"/>
    </row>
    <row r="11" spans="1:6" ht="17.45" customHeight="1" x14ac:dyDescent="0.25">
      <c r="A11" s="63" t="s">
        <v>439</v>
      </c>
      <c r="B11" s="348" t="s">
        <v>63</v>
      </c>
      <c r="C11" s="345">
        <v>1</v>
      </c>
      <c r="D11" s="345"/>
      <c r="E11" s="347"/>
      <c r="F11" s="348"/>
    </row>
    <row r="12" spans="1:6" ht="17.45" customHeight="1" x14ac:dyDescent="0.25">
      <c r="B12" s="348" t="s">
        <v>64</v>
      </c>
      <c r="C12" s="345">
        <v>2</v>
      </c>
      <c r="D12" s="345"/>
      <c r="E12" s="347"/>
      <c r="F12" s="348"/>
    </row>
    <row r="13" spans="1:6" ht="17.45" customHeight="1" x14ac:dyDescent="0.25">
      <c r="B13" s="348" t="s">
        <v>65</v>
      </c>
      <c r="C13" s="345">
        <v>3</v>
      </c>
      <c r="D13" s="345"/>
      <c r="E13" s="347"/>
      <c r="F13" s="348"/>
    </row>
    <row r="14" spans="1:6" ht="17.45" customHeight="1" x14ac:dyDescent="0.25">
      <c r="B14" s="348" t="s">
        <v>66</v>
      </c>
      <c r="C14" s="345">
        <v>4</v>
      </c>
      <c r="D14" s="345"/>
      <c r="E14" s="347"/>
      <c r="F14" s="348"/>
    </row>
    <row r="15" spans="1:6" ht="17.45" customHeight="1" x14ac:dyDescent="0.25">
      <c r="B15" s="348" t="s">
        <v>67</v>
      </c>
      <c r="C15" s="345">
        <v>5</v>
      </c>
      <c r="D15" s="345"/>
      <c r="E15" s="347"/>
      <c r="F15" s="348"/>
    </row>
    <row r="16" spans="1:6" ht="17.45" customHeight="1" x14ac:dyDescent="0.25">
      <c r="B16" s="348" t="s">
        <v>68</v>
      </c>
      <c r="C16" s="345">
        <v>6</v>
      </c>
      <c r="D16" s="345"/>
      <c r="E16" s="347"/>
      <c r="F16" s="348"/>
    </row>
    <row r="17" spans="2:6" ht="17.45" customHeight="1" x14ac:dyDescent="0.25">
      <c r="B17" s="348" t="s">
        <v>69</v>
      </c>
      <c r="C17" s="345">
        <v>7</v>
      </c>
      <c r="D17" s="345"/>
      <c r="E17" s="347"/>
      <c r="F17" s="348"/>
    </row>
    <row r="18" spans="2:6" ht="17.45" customHeight="1" x14ac:dyDescent="0.25">
      <c r="B18" s="349" t="s">
        <v>70</v>
      </c>
      <c r="C18" s="350">
        <v>20</v>
      </c>
      <c r="D18" s="350"/>
      <c r="E18" s="351"/>
      <c r="F18" s="352"/>
    </row>
    <row r="19" spans="2:6" ht="17.45" customHeight="1" x14ac:dyDescent="0.25">
      <c r="B19" s="346"/>
      <c r="C19" s="345"/>
      <c r="D19" s="345"/>
      <c r="E19" s="347"/>
      <c r="F19" s="348"/>
    </row>
    <row r="20" spans="2:6" ht="17.45" customHeight="1" x14ac:dyDescent="0.25">
      <c r="B20" s="346" t="s">
        <v>71</v>
      </c>
      <c r="C20" s="345"/>
      <c r="D20" s="345"/>
      <c r="E20" s="347"/>
      <c r="F20" s="348"/>
    </row>
    <row r="21" spans="2:6" ht="17.45" customHeight="1" x14ac:dyDescent="0.25">
      <c r="B21" s="348" t="s">
        <v>72</v>
      </c>
      <c r="C21" s="345">
        <v>21</v>
      </c>
      <c r="D21" s="345"/>
      <c r="E21" s="347"/>
      <c r="F21" s="348"/>
    </row>
    <row r="22" spans="2:6" ht="17.45" customHeight="1" x14ac:dyDescent="0.25">
      <c r="B22" s="348" t="s">
        <v>73</v>
      </c>
      <c r="C22" s="345">
        <v>22</v>
      </c>
      <c r="D22" s="345"/>
      <c r="E22" s="347"/>
      <c r="F22" s="348"/>
    </row>
    <row r="23" spans="2:6" ht="17.45" customHeight="1" x14ac:dyDescent="0.25">
      <c r="B23" s="348" t="s">
        <v>74</v>
      </c>
      <c r="C23" s="345">
        <v>23</v>
      </c>
      <c r="D23" s="345"/>
      <c r="E23" s="347"/>
      <c r="F23" s="348"/>
    </row>
    <row r="24" spans="2:6" ht="17.45" customHeight="1" x14ac:dyDescent="0.25">
      <c r="B24" s="348" t="s">
        <v>75</v>
      </c>
      <c r="C24" s="345">
        <v>24</v>
      </c>
      <c r="D24" s="345"/>
      <c r="E24" s="347"/>
      <c r="F24" s="348"/>
    </row>
    <row r="25" spans="2:6" ht="17.45" customHeight="1" x14ac:dyDescent="0.25">
      <c r="B25" s="348" t="s">
        <v>76</v>
      </c>
      <c r="C25" s="345">
        <v>25</v>
      </c>
      <c r="D25" s="345"/>
      <c r="E25" s="347"/>
      <c r="F25" s="348"/>
    </row>
    <row r="26" spans="2:6" ht="17.45" customHeight="1" x14ac:dyDescent="0.25">
      <c r="B26" s="348" t="s">
        <v>77</v>
      </c>
      <c r="C26" s="345">
        <v>26</v>
      </c>
      <c r="D26" s="345"/>
      <c r="E26" s="347"/>
      <c r="F26" s="348"/>
    </row>
    <row r="27" spans="2:6" ht="17.45" customHeight="1" x14ac:dyDescent="0.25">
      <c r="B27" s="348" t="s">
        <v>78</v>
      </c>
      <c r="C27" s="345">
        <v>27</v>
      </c>
      <c r="D27" s="345"/>
      <c r="E27" s="347"/>
      <c r="F27" s="348"/>
    </row>
    <row r="28" spans="2:6" ht="17.45" customHeight="1" x14ac:dyDescent="0.25">
      <c r="B28" s="349" t="s">
        <v>79</v>
      </c>
      <c r="C28" s="350">
        <v>30</v>
      </c>
      <c r="D28" s="350"/>
      <c r="E28" s="347"/>
      <c r="F28" s="352"/>
    </row>
    <row r="29" spans="2:6" ht="17.45" customHeight="1" x14ac:dyDescent="0.25">
      <c r="B29" s="346"/>
      <c r="C29" s="345"/>
      <c r="D29" s="345"/>
      <c r="E29" s="347"/>
      <c r="F29" s="348"/>
    </row>
    <row r="30" spans="2:6" ht="17.45" customHeight="1" x14ac:dyDescent="0.25">
      <c r="B30" s="346" t="s">
        <v>80</v>
      </c>
      <c r="C30" s="345"/>
      <c r="D30" s="345"/>
      <c r="E30" s="347"/>
      <c r="F30" s="348"/>
    </row>
    <row r="31" spans="2:6" ht="17.45" customHeight="1" x14ac:dyDescent="0.25">
      <c r="B31" s="348" t="s">
        <v>81</v>
      </c>
      <c r="C31" s="345">
        <v>31</v>
      </c>
      <c r="D31" s="345"/>
      <c r="E31" s="347"/>
      <c r="F31" s="348"/>
    </row>
    <row r="32" spans="2:6" ht="32.450000000000003" customHeight="1" x14ac:dyDescent="0.25">
      <c r="B32" s="348" t="s">
        <v>82</v>
      </c>
      <c r="C32" s="345">
        <v>32</v>
      </c>
      <c r="D32" s="345"/>
      <c r="E32" s="347"/>
      <c r="F32" s="348"/>
    </row>
    <row r="33" spans="1:8" ht="17.45" customHeight="1" x14ac:dyDescent="0.25">
      <c r="A33" s="63" t="s">
        <v>439</v>
      </c>
      <c r="B33" s="348" t="s">
        <v>83</v>
      </c>
      <c r="C33" s="345">
        <v>33</v>
      </c>
      <c r="D33" s="345"/>
      <c r="E33" s="347"/>
      <c r="F33" s="348"/>
    </row>
    <row r="34" spans="1:8" ht="17.45" customHeight="1" x14ac:dyDescent="0.25">
      <c r="B34" s="348" t="s">
        <v>84</v>
      </c>
      <c r="C34" s="345">
        <v>34</v>
      </c>
      <c r="D34" s="345"/>
      <c r="E34" s="347"/>
      <c r="F34" s="348"/>
    </row>
    <row r="35" spans="1:8" ht="17.45" customHeight="1" x14ac:dyDescent="0.25">
      <c r="B35" s="348" t="s">
        <v>85</v>
      </c>
      <c r="C35" s="345">
        <v>35</v>
      </c>
      <c r="D35" s="345"/>
      <c r="E35" s="347"/>
      <c r="F35" s="348"/>
    </row>
    <row r="36" spans="1:8" ht="17.45" customHeight="1" x14ac:dyDescent="0.25">
      <c r="B36" s="348" t="s">
        <v>86</v>
      </c>
      <c r="C36" s="345">
        <v>36</v>
      </c>
      <c r="D36" s="345"/>
      <c r="E36" s="347"/>
      <c r="F36" s="348"/>
    </row>
    <row r="37" spans="1:8" ht="17.45" customHeight="1" x14ac:dyDescent="0.25">
      <c r="B37" s="349" t="s">
        <v>87</v>
      </c>
      <c r="C37" s="350">
        <v>40</v>
      </c>
      <c r="D37" s="350"/>
      <c r="E37" s="351"/>
      <c r="F37" s="352"/>
    </row>
    <row r="38" spans="1:8" ht="17.45" customHeight="1" x14ac:dyDescent="0.25">
      <c r="B38" s="346" t="s">
        <v>88</v>
      </c>
      <c r="C38" s="353">
        <v>50</v>
      </c>
      <c r="D38" s="353"/>
      <c r="E38" s="351"/>
      <c r="F38" s="348"/>
    </row>
    <row r="39" spans="1:8" ht="17.45" customHeight="1" x14ac:dyDescent="0.25">
      <c r="B39" s="346" t="s">
        <v>89</v>
      </c>
      <c r="C39" s="353">
        <v>60</v>
      </c>
      <c r="D39" s="353"/>
      <c r="E39" s="347"/>
      <c r="F39" s="348"/>
    </row>
    <row r="40" spans="1:8" ht="17.45" customHeight="1" x14ac:dyDescent="0.25">
      <c r="B40" s="348" t="s">
        <v>90</v>
      </c>
      <c r="C40" s="345">
        <v>61</v>
      </c>
      <c r="D40" s="345"/>
      <c r="E40" s="347"/>
      <c r="F40" s="348"/>
    </row>
    <row r="41" spans="1:8" ht="17.45" customHeight="1" x14ac:dyDescent="0.25">
      <c r="B41" s="354" t="s">
        <v>91</v>
      </c>
      <c r="C41" s="355">
        <v>70</v>
      </c>
      <c r="D41" s="356" t="s">
        <v>92</v>
      </c>
      <c r="E41" s="357"/>
      <c r="F41" s="358"/>
      <c r="G41" s="234">
        <f ca="1">E41-'Bang CDPS'!H8-'Bang CDPS'!H10</f>
        <v>-1300000000</v>
      </c>
      <c r="H41" s="359"/>
    </row>
    <row r="42" spans="1:8" x14ac:dyDescent="0.25">
      <c r="B42" s="360"/>
    </row>
    <row r="43" spans="1:8" x14ac:dyDescent="0.25">
      <c r="B43" s="361"/>
      <c r="E43" s="362" t="str">
        <f>'NKC-Socai'!J131</f>
        <v>Ngày 30 tháng 11 năm 2023</v>
      </c>
      <c r="F43" s="72"/>
    </row>
    <row r="44" spans="1:8" ht="16.899999999999999" customHeight="1" x14ac:dyDescent="0.25">
      <c r="B44" s="363" t="s">
        <v>16</v>
      </c>
      <c r="C44" s="422" t="s">
        <v>17</v>
      </c>
      <c r="D44" s="422"/>
      <c r="E44" s="364" t="s">
        <v>14</v>
      </c>
      <c r="F44" s="72"/>
    </row>
    <row r="45" spans="1:8" ht="16.899999999999999" customHeight="1" x14ac:dyDescent="0.25">
      <c r="B45" s="365"/>
      <c r="C45" s="423"/>
      <c r="D45" s="423"/>
      <c r="E45" s="366"/>
      <c r="F45" s="72"/>
    </row>
  </sheetData>
  <mergeCells count="2">
    <mergeCell ref="C44:D44"/>
    <mergeCell ref="C45:D45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81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33"/>
  <sheetViews>
    <sheetView zoomScale="145" zoomScaleNormal="145" workbookViewId="0">
      <selection activeCell="B1" sqref="B1"/>
    </sheetView>
  </sheetViews>
  <sheetFormatPr defaultColWidth="9" defaultRowHeight="15.75" x14ac:dyDescent="0.25"/>
  <cols>
    <col min="1" max="1" width="9" style="63"/>
    <col min="2" max="2" width="15.125" style="63" customWidth="1"/>
    <col min="3" max="7" width="14" style="63" customWidth="1"/>
    <col min="8" max="8" width="11.375" style="63" customWidth="1"/>
    <col min="9" max="16384" width="9" style="63"/>
  </cols>
  <sheetData>
    <row r="2" spans="2:7" x14ac:dyDescent="0.25">
      <c r="B2" s="70" t="s">
        <v>616</v>
      </c>
      <c r="C2" s="72"/>
      <c r="D2" s="72"/>
      <c r="E2" s="72"/>
      <c r="F2" s="72"/>
      <c r="G2" s="72"/>
    </row>
    <row r="3" spans="2:7" x14ac:dyDescent="0.25">
      <c r="B3" s="70"/>
      <c r="C3" s="72"/>
      <c r="D3" s="72"/>
      <c r="E3" s="72"/>
      <c r="F3" s="72"/>
      <c r="G3" s="72"/>
    </row>
    <row r="4" spans="2:7" ht="40.5" customHeight="1" x14ac:dyDescent="0.25">
      <c r="B4" s="49" t="s">
        <v>342</v>
      </c>
      <c r="C4" s="50" t="s">
        <v>463</v>
      </c>
      <c r="D4" s="50" t="s">
        <v>476</v>
      </c>
      <c r="E4" s="50" t="s">
        <v>346</v>
      </c>
      <c r="F4" s="50" t="s">
        <v>343</v>
      </c>
      <c r="G4" s="51" t="s">
        <v>514</v>
      </c>
    </row>
    <row r="5" spans="2:7" ht="18.75" customHeight="1" x14ac:dyDescent="0.25">
      <c r="B5" s="49" t="s">
        <v>464</v>
      </c>
      <c r="C5" s="52" t="s">
        <v>465</v>
      </c>
      <c r="D5" s="52" t="s">
        <v>466</v>
      </c>
      <c r="E5" s="52" t="s">
        <v>467</v>
      </c>
      <c r="F5" s="52" t="s">
        <v>468</v>
      </c>
      <c r="G5" s="371" t="s">
        <v>515</v>
      </c>
    </row>
    <row r="6" spans="2:7" ht="18" customHeight="1" x14ac:dyDescent="0.25">
      <c r="B6" s="44" t="s">
        <v>344</v>
      </c>
      <c r="C6" s="40">
        <v>120000000</v>
      </c>
      <c r="D6" s="40">
        <v>130000000</v>
      </c>
      <c r="E6" s="40">
        <f>C6*10.5%</f>
        <v>12600000</v>
      </c>
      <c r="F6" s="40">
        <v>55000000</v>
      </c>
      <c r="G6" s="45">
        <f>D6-E6-F6</f>
        <v>62400000</v>
      </c>
    </row>
    <row r="7" spans="2:7" ht="18" customHeight="1" x14ac:dyDescent="0.25">
      <c r="B7" s="44" t="s">
        <v>345</v>
      </c>
      <c r="C7" s="40">
        <v>50000000</v>
      </c>
      <c r="D7" s="40">
        <v>42000000</v>
      </c>
      <c r="E7" s="40">
        <f t="shared" ref="E7:E8" si="0">C7*10.5%</f>
        <v>5250000</v>
      </c>
      <c r="F7" s="41">
        <v>20000000</v>
      </c>
      <c r="G7" s="45">
        <f t="shared" ref="G7:G8" si="1">D7-E7-F7</f>
        <v>16750000</v>
      </c>
    </row>
    <row r="8" spans="2:7" ht="18" customHeight="1" x14ac:dyDescent="0.25">
      <c r="B8" s="44" t="s">
        <v>469</v>
      </c>
      <c r="C8" s="40">
        <v>45000000</v>
      </c>
      <c r="D8" s="40">
        <v>43000000</v>
      </c>
      <c r="E8" s="40">
        <f t="shared" si="0"/>
        <v>4725000</v>
      </c>
      <c r="F8" s="41">
        <v>20000000</v>
      </c>
      <c r="G8" s="45">
        <f t="shared" si="1"/>
        <v>18275000</v>
      </c>
    </row>
    <row r="9" spans="2:7" ht="18" customHeight="1" x14ac:dyDescent="0.25">
      <c r="B9" s="46" t="s">
        <v>114</v>
      </c>
      <c r="C9" s="47">
        <f>SUM(C6:C8)</f>
        <v>215000000</v>
      </c>
      <c r="D9" s="47">
        <f t="shared" ref="D9:G9" si="2">SUM(D6:D8)</f>
        <v>215000000</v>
      </c>
      <c r="E9" s="47">
        <f t="shared" si="2"/>
        <v>22575000</v>
      </c>
      <c r="F9" s="47">
        <f t="shared" si="2"/>
        <v>95000000</v>
      </c>
      <c r="G9" s="48">
        <f t="shared" si="2"/>
        <v>97425000</v>
      </c>
    </row>
    <row r="10" spans="2:7" ht="18" customHeight="1" x14ac:dyDescent="0.25">
      <c r="B10" s="42"/>
      <c r="C10" s="43"/>
      <c r="D10" s="43"/>
      <c r="E10" s="43"/>
      <c r="F10" s="43"/>
      <c r="G10" s="43"/>
    </row>
    <row r="11" spans="2:7" ht="18" customHeight="1" x14ac:dyDescent="0.25">
      <c r="B11" s="42"/>
      <c r="C11" s="43"/>
      <c r="D11" s="43"/>
      <c r="E11" s="43"/>
      <c r="F11" s="43"/>
      <c r="G11" s="43"/>
    </row>
    <row r="12" spans="2:7" ht="18" customHeight="1" x14ac:dyDescent="0.25">
      <c r="B12" s="369" t="s">
        <v>618</v>
      </c>
      <c r="C12" s="369"/>
      <c r="D12" s="369"/>
      <c r="E12" s="369"/>
      <c r="F12" s="369"/>
      <c r="G12" s="369"/>
    </row>
    <row r="13" spans="2:7" x14ac:dyDescent="0.25">
      <c r="C13" s="72"/>
      <c r="D13" s="72"/>
      <c r="E13" s="72"/>
      <c r="F13" s="72"/>
      <c r="G13" s="72"/>
    </row>
    <row r="14" spans="2:7" ht="38.25" x14ac:dyDescent="0.25">
      <c r="B14" s="49" t="s">
        <v>342</v>
      </c>
      <c r="C14" s="50" t="s">
        <v>463</v>
      </c>
      <c r="D14" s="50" t="s">
        <v>599</v>
      </c>
      <c r="E14" s="50" t="s">
        <v>600</v>
      </c>
      <c r="F14" s="50" t="s">
        <v>601</v>
      </c>
      <c r="G14" s="51" t="s">
        <v>114</v>
      </c>
    </row>
    <row r="15" spans="2:7" ht="18.75" customHeight="1" x14ac:dyDescent="0.25">
      <c r="B15" s="49" t="s">
        <v>464</v>
      </c>
      <c r="C15" s="52" t="s">
        <v>465</v>
      </c>
      <c r="D15" s="52" t="s">
        <v>466</v>
      </c>
      <c r="E15" s="52" t="s">
        <v>467</v>
      </c>
      <c r="F15" s="52" t="s">
        <v>468</v>
      </c>
      <c r="G15" s="371" t="s">
        <v>602</v>
      </c>
    </row>
    <row r="16" spans="2:7" ht="17.25" customHeight="1" x14ac:dyDescent="0.25">
      <c r="B16" s="44" t="s">
        <v>344</v>
      </c>
      <c r="C16" s="40">
        <f>C6</f>
        <v>120000000</v>
      </c>
      <c r="D16" s="40">
        <f t="shared" ref="D16" si="3">C16*8%</f>
        <v>9600000</v>
      </c>
      <c r="E16" s="40">
        <f t="shared" ref="E16" si="4">C16*1.5%</f>
        <v>1800000</v>
      </c>
      <c r="F16" s="41">
        <f t="shared" ref="F16" si="5">C16*1%</f>
        <v>1200000</v>
      </c>
      <c r="G16" s="45">
        <f>SUM(D16:F16)</f>
        <v>12600000</v>
      </c>
    </row>
    <row r="17" spans="2:8" ht="17.25" customHeight="1" x14ac:dyDescent="0.25">
      <c r="B17" s="44" t="s">
        <v>345</v>
      </c>
      <c r="C17" s="40">
        <f>C7</f>
        <v>50000000</v>
      </c>
      <c r="D17" s="40">
        <f>C17*8%</f>
        <v>4000000</v>
      </c>
      <c r="E17" s="40">
        <f>C17*1.5%</f>
        <v>750000</v>
      </c>
      <c r="F17" s="41">
        <f>C17*1%</f>
        <v>500000</v>
      </c>
      <c r="G17" s="45">
        <f t="shared" ref="G17:G18" si="6">SUM(D17:F17)</f>
        <v>5250000</v>
      </c>
    </row>
    <row r="18" spans="2:8" ht="17.25" customHeight="1" x14ac:dyDescent="0.25">
      <c r="B18" s="44" t="s">
        <v>469</v>
      </c>
      <c r="C18" s="40">
        <f>C8</f>
        <v>45000000</v>
      </c>
      <c r="D18" s="40">
        <f t="shared" ref="D18" si="7">C18*8%</f>
        <v>3600000</v>
      </c>
      <c r="E18" s="40">
        <f t="shared" ref="E18" si="8">C18*1.5%</f>
        <v>675000</v>
      </c>
      <c r="F18" s="41">
        <f t="shared" ref="F18" si="9">C18*1%</f>
        <v>450000</v>
      </c>
      <c r="G18" s="45">
        <f t="shared" si="6"/>
        <v>4725000</v>
      </c>
    </row>
    <row r="19" spans="2:8" ht="17.25" customHeight="1" x14ac:dyDescent="0.25">
      <c r="B19" s="46" t="s">
        <v>114</v>
      </c>
      <c r="C19" s="47">
        <f>SUM(C16:C18)</f>
        <v>215000000</v>
      </c>
      <c r="D19" s="47">
        <f t="shared" ref="D19:G19" si="10">SUM(D16:D18)</f>
        <v>17200000</v>
      </c>
      <c r="E19" s="47">
        <f t="shared" si="10"/>
        <v>3225000</v>
      </c>
      <c r="F19" s="47">
        <f t="shared" si="10"/>
        <v>2150000</v>
      </c>
      <c r="G19" s="48">
        <f t="shared" si="10"/>
        <v>22575000</v>
      </c>
    </row>
    <row r="22" spans="2:8" x14ac:dyDescent="0.25">
      <c r="B22" s="369" t="s">
        <v>617</v>
      </c>
      <c r="C22" s="369"/>
      <c r="D22" s="369"/>
      <c r="E22" s="369"/>
      <c r="F22" s="369"/>
      <c r="G22" s="369"/>
    </row>
    <row r="23" spans="2:8" x14ac:dyDescent="0.25">
      <c r="C23" s="72"/>
      <c r="D23" s="72"/>
      <c r="E23" s="72"/>
      <c r="F23" s="72"/>
      <c r="G23" s="72"/>
    </row>
    <row r="24" spans="2:8" ht="25.5" x14ac:dyDescent="0.25">
      <c r="B24" s="49" t="s">
        <v>342</v>
      </c>
      <c r="C24" s="50" t="s">
        <v>463</v>
      </c>
      <c r="D24" s="50" t="s">
        <v>603</v>
      </c>
      <c r="E24" s="50" t="s">
        <v>604</v>
      </c>
      <c r="F24" s="50" t="s">
        <v>605</v>
      </c>
      <c r="G24" s="50" t="s">
        <v>114</v>
      </c>
      <c r="H24" s="51" t="s">
        <v>351</v>
      </c>
    </row>
    <row r="25" spans="2:8" x14ac:dyDescent="0.25">
      <c r="B25" s="49" t="s">
        <v>464</v>
      </c>
      <c r="C25" s="52" t="s">
        <v>465</v>
      </c>
      <c r="D25" s="52" t="s">
        <v>466</v>
      </c>
      <c r="E25" s="52" t="s">
        <v>467</v>
      </c>
      <c r="F25" s="52" t="s">
        <v>468</v>
      </c>
      <c r="G25" s="52" t="s">
        <v>602</v>
      </c>
      <c r="H25" s="371" t="s">
        <v>468</v>
      </c>
    </row>
    <row r="26" spans="2:8" x14ac:dyDescent="0.25">
      <c r="B26" s="44" t="s">
        <v>344</v>
      </c>
      <c r="C26" s="40">
        <f>C16</f>
        <v>120000000</v>
      </c>
      <c r="D26" s="40">
        <f t="shared" ref="D26" si="11">C26*17.5%</f>
        <v>21000000</v>
      </c>
      <c r="E26" s="40">
        <f t="shared" ref="E26" si="12">C26*3%</f>
        <v>3600000</v>
      </c>
      <c r="F26" s="40">
        <f t="shared" ref="F26" si="13">C26*1%</f>
        <v>1200000</v>
      </c>
      <c r="G26" s="40">
        <f>SUM(D26:F26)</f>
        <v>25800000</v>
      </c>
      <c r="H26" s="45">
        <f>C26*2%</f>
        <v>2400000</v>
      </c>
    </row>
    <row r="27" spans="2:8" x14ac:dyDescent="0.25">
      <c r="B27" s="44" t="s">
        <v>345</v>
      </c>
      <c r="C27" s="40">
        <f>C17</f>
        <v>50000000</v>
      </c>
      <c r="D27" s="40">
        <f>C27*17.5%</f>
        <v>8750000</v>
      </c>
      <c r="E27" s="40">
        <f>C27*3%</f>
        <v>1500000</v>
      </c>
      <c r="F27" s="40">
        <f>C27*1%</f>
        <v>500000</v>
      </c>
      <c r="G27" s="40">
        <f t="shared" ref="G27:G28" si="14">SUM(D27:F27)</f>
        <v>10750000</v>
      </c>
      <c r="H27" s="45">
        <f>C27*2%</f>
        <v>1000000</v>
      </c>
    </row>
    <row r="28" spans="2:8" x14ac:dyDescent="0.25">
      <c r="B28" s="44" t="s">
        <v>469</v>
      </c>
      <c r="C28" s="40">
        <f>C18</f>
        <v>45000000</v>
      </c>
      <c r="D28" s="40">
        <f t="shared" ref="D28" si="15">C28*17.5%</f>
        <v>7874999.9999999991</v>
      </c>
      <c r="E28" s="40">
        <f t="shared" ref="E28" si="16">C28*3%</f>
        <v>1350000</v>
      </c>
      <c r="F28" s="40">
        <f t="shared" ref="F28" si="17">C28*1%</f>
        <v>450000</v>
      </c>
      <c r="G28" s="40">
        <f t="shared" si="14"/>
        <v>9675000</v>
      </c>
      <c r="H28" s="45">
        <f>C28*2%</f>
        <v>900000</v>
      </c>
    </row>
    <row r="29" spans="2:8" x14ac:dyDescent="0.25">
      <c r="B29" s="46" t="s">
        <v>114</v>
      </c>
      <c r="C29" s="47">
        <f>SUM(C26:C28)</f>
        <v>215000000</v>
      </c>
      <c r="D29" s="47">
        <f t="shared" ref="D29:G29" si="18">SUM(D26:D28)</f>
        <v>37625000</v>
      </c>
      <c r="E29" s="47">
        <f t="shared" si="18"/>
        <v>6450000</v>
      </c>
      <c r="F29" s="47">
        <f t="shared" si="18"/>
        <v>2150000</v>
      </c>
      <c r="G29" s="47">
        <f t="shared" si="18"/>
        <v>46225000</v>
      </c>
      <c r="H29" s="48">
        <f>SUM(H26:H28)</f>
        <v>4300000</v>
      </c>
    </row>
    <row r="30" spans="2:8" x14ac:dyDescent="0.25">
      <c r="C30" s="234"/>
    </row>
    <row r="31" spans="2:8" x14ac:dyDescent="0.25">
      <c r="C31" s="234"/>
    </row>
    <row r="32" spans="2:8" x14ac:dyDescent="0.25">
      <c r="C32" s="234"/>
    </row>
    <row r="33" spans="3:3" x14ac:dyDescent="0.25">
      <c r="C33" s="23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4"/>
  <sheetViews>
    <sheetView zoomScale="130" zoomScaleNormal="130" workbookViewId="0">
      <selection activeCell="C13" sqref="C13"/>
    </sheetView>
  </sheetViews>
  <sheetFormatPr defaultColWidth="9" defaultRowHeight="15.75" x14ac:dyDescent="0.25"/>
  <cols>
    <col min="1" max="1" width="9" style="63"/>
    <col min="2" max="2" width="19.375" style="63" customWidth="1"/>
    <col min="3" max="3" width="12.75" style="63" customWidth="1"/>
    <col min="4" max="4" width="9" style="63"/>
    <col min="5" max="5" width="16.5" style="63" customWidth="1"/>
    <col min="6" max="6" width="19.375" style="63" customWidth="1"/>
    <col min="7" max="7" width="14.375" style="63" customWidth="1"/>
    <col min="8" max="16384" width="9" style="63"/>
  </cols>
  <sheetData>
    <row r="1" spans="2:6" x14ac:dyDescent="0.25">
      <c r="B1" s="381" t="s">
        <v>534</v>
      </c>
      <c r="C1" s="382" t="s">
        <v>535</v>
      </c>
      <c r="D1" s="382" t="s">
        <v>536</v>
      </c>
      <c r="E1" s="382" t="s">
        <v>537</v>
      </c>
      <c r="F1" s="382" t="s">
        <v>538</v>
      </c>
    </row>
    <row r="2" spans="2:6" x14ac:dyDescent="0.25">
      <c r="B2" s="383" t="s">
        <v>527</v>
      </c>
      <c r="C2" s="384" t="s">
        <v>539</v>
      </c>
      <c r="D2" s="384">
        <v>100</v>
      </c>
      <c r="E2" s="385">
        <v>25000</v>
      </c>
      <c r="F2" s="385">
        <f>D2*E2</f>
        <v>2500000</v>
      </c>
    </row>
    <row r="3" spans="2:6" x14ac:dyDescent="0.25">
      <c r="B3" s="383" t="s">
        <v>528</v>
      </c>
      <c r="C3" s="384" t="s">
        <v>539</v>
      </c>
      <c r="D3" s="384">
        <v>20</v>
      </c>
      <c r="E3" s="385">
        <v>180000</v>
      </c>
      <c r="F3" s="385">
        <f>D3*E3</f>
        <v>3600000</v>
      </c>
    </row>
    <row r="4" spans="2:6" x14ac:dyDescent="0.25">
      <c r="B4" s="383" t="s">
        <v>529</v>
      </c>
      <c r="C4" s="386"/>
      <c r="D4" s="386"/>
      <c r="E4" s="386"/>
      <c r="F4" s="385">
        <v>3200000</v>
      </c>
    </row>
    <row r="5" spans="2:6" x14ac:dyDescent="0.25">
      <c r="B5" s="383" t="s">
        <v>532</v>
      </c>
      <c r="C5" s="387"/>
      <c r="D5" s="387"/>
      <c r="E5" s="387"/>
      <c r="F5" s="385">
        <v>2500000</v>
      </c>
    </row>
    <row r="6" spans="2:6" x14ac:dyDescent="0.25">
      <c r="B6" s="383" t="s">
        <v>530</v>
      </c>
      <c r="C6" s="386"/>
      <c r="D6" s="386"/>
      <c r="E6" s="386"/>
      <c r="F6" s="385">
        <v>2000000</v>
      </c>
    </row>
    <row r="7" spans="2:6" ht="18" customHeight="1" x14ac:dyDescent="0.25">
      <c r="B7" s="388" t="s">
        <v>540</v>
      </c>
      <c r="C7" s="389" t="s">
        <v>535</v>
      </c>
      <c r="D7" s="389" t="s">
        <v>536</v>
      </c>
      <c r="E7" s="389" t="s">
        <v>537</v>
      </c>
      <c r="F7" s="389" t="s">
        <v>538</v>
      </c>
    </row>
    <row r="8" spans="2:6" ht="18" customHeight="1" x14ac:dyDescent="0.25">
      <c r="B8" s="390" t="s">
        <v>541</v>
      </c>
      <c r="C8" s="384" t="s">
        <v>542</v>
      </c>
      <c r="D8" s="384">
        <v>900</v>
      </c>
      <c r="E8" s="385">
        <v>8000</v>
      </c>
      <c r="F8" s="385">
        <v>7200000</v>
      </c>
    </row>
    <row r="9" spans="2:6" ht="18" customHeight="1" x14ac:dyDescent="0.25">
      <c r="B9" s="390"/>
      <c r="C9" s="384"/>
      <c r="D9" s="384"/>
      <c r="E9" s="385"/>
      <c r="F9" s="385"/>
    </row>
    <row r="10" spans="2:6" ht="18" customHeight="1" x14ac:dyDescent="0.25">
      <c r="B10" s="392" t="s">
        <v>557</v>
      </c>
      <c r="C10" s="384"/>
      <c r="D10" s="384"/>
      <c r="E10" s="385"/>
      <c r="F10" s="385"/>
    </row>
    <row r="11" spans="2:6" ht="18" customHeight="1" x14ac:dyDescent="0.25">
      <c r="B11" s="64" t="s">
        <v>477</v>
      </c>
      <c r="C11" s="62">
        <v>900</v>
      </c>
      <c r="D11" s="62">
        <v>8000</v>
      </c>
      <c r="E11" s="62">
        <f t="shared" ref="E11:E12" si="0">C11*D11</f>
        <v>7200000</v>
      </c>
      <c r="F11" s="62"/>
    </row>
    <row r="12" spans="2:6" ht="18" customHeight="1" x14ac:dyDescent="0.25">
      <c r="B12" s="64" t="s">
        <v>478</v>
      </c>
      <c r="C12" s="62">
        <v>1600</v>
      </c>
      <c r="D12" s="62">
        <v>9000</v>
      </c>
      <c r="E12" s="62">
        <f t="shared" si="0"/>
        <v>14400000</v>
      </c>
      <c r="F12" s="62"/>
    </row>
    <row r="13" spans="2:6" ht="18" customHeight="1" x14ac:dyDescent="0.25">
      <c r="B13" s="64" t="s">
        <v>479</v>
      </c>
      <c r="C13" s="62">
        <v>600</v>
      </c>
      <c r="D13" s="62">
        <f>(E11+E12)/(C11+C12)</f>
        <v>8640</v>
      </c>
      <c r="E13" s="62">
        <f>C13*D13</f>
        <v>5184000</v>
      </c>
      <c r="F13" s="62"/>
    </row>
    <row r="14" spans="2:6" ht="18" customHeight="1" x14ac:dyDescent="0.25">
      <c r="B14" s="64" t="s">
        <v>480</v>
      </c>
      <c r="C14" s="62">
        <f>C11+C12-C13</f>
        <v>1900</v>
      </c>
      <c r="D14" s="62"/>
      <c r="E14" s="62">
        <f>E11+E12-E13</f>
        <v>16416000</v>
      </c>
      <c r="F14" s="62"/>
    </row>
    <row r="15" spans="2:6" x14ac:dyDescent="0.25">
      <c r="C15" s="62"/>
      <c r="D15" s="62"/>
      <c r="E15" s="62"/>
      <c r="F15" s="62"/>
    </row>
    <row r="16" spans="2:6" x14ac:dyDescent="0.25">
      <c r="C16" s="62"/>
      <c r="D16" s="62"/>
      <c r="E16" s="62"/>
      <c r="F16" s="62"/>
    </row>
    <row r="17" spans="1:7" x14ac:dyDescent="0.25">
      <c r="C17" s="62"/>
      <c r="D17" s="62"/>
      <c r="E17" s="62"/>
      <c r="F17" s="62"/>
    </row>
    <row r="18" spans="1:7" x14ac:dyDescent="0.25">
      <c r="B18" s="374" t="s">
        <v>525</v>
      </c>
      <c r="C18" s="62"/>
      <c r="D18" s="62"/>
      <c r="E18" s="374" t="s">
        <v>524</v>
      </c>
      <c r="G18" s="374" t="s">
        <v>523</v>
      </c>
    </row>
    <row r="19" spans="1:7" x14ac:dyDescent="0.25">
      <c r="A19" s="370" t="s">
        <v>510</v>
      </c>
      <c r="B19" s="62">
        <v>18000000</v>
      </c>
      <c r="E19" s="62">
        <v>25000000</v>
      </c>
      <c r="G19" s="62">
        <v>850000000</v>
      </c>
    </row>
    <row r="20" spans="1:7" x14ac:dyDescent="0.25">
      <c r="A20" s="370" t="s">
        <v>511</v>
      </c>
      <c r="B20" s="62">
        <f>B19*0.3</f>
        <v>5400000</v>
      </c>
      <c r="C20" s="185"/>
      <c r="E20" s="62">
        <f>E19*0.3</f>
        <v>7500000</v>
      </c>
      <c r="G20" s="62">
        <f>G19*0.3</f>
        <v>255000000</v>
      </c>
    </row>
    <row r="21" spans="1:7" x14ac:dyDescent="0.25">
      <c r="A21" s="370" t="s">
        <v>512</v>
      </c>
      <c r="B21" s="62">
        <f>SUM(B19:B20)*0.1</f>
        <v>2340000</v>
      </c>
      <c r="E21" s="62">
        <f>SUM(E19:E20)*0.1</f>
        <v>3250000</v>
      </c>
      <c r="G21" s="62">
        <f>SUM(G19:G20)*0.1</f>
        <v>110500000</v>
      </c>
    </row>
    <row r="22" spans="1:7" x14ac:dyDescent="0.25">
      <c r="B22" s="375">
        <f>SUM(B19:B21)</f>
        <v>25740000</v>
      </c>
      <c r="C22" s="67"/>
      <c r="D22" s="67"/>
      <c r="E22" s="375">
        <f>SUM(E19:E21)</f>
        <v>35750000</v>
      </c>
      <c r="G22" s="375">
        <f>SUM(G19:G21)</f>
        <v>1215500000</v>
      </c>
    </row>
    <row r="23" spans="1:7" x14ac:dyDescent="0.25">
      <c r="E23" s="62"/>
    </row>
    <row r="24" spans="1:7" x14ac:dyDescent="0.25">
      <c r="B24" s="185">
        <f>B19+B20</f>
        <v>23400000</v>
      </c>
      <c r="E24" s="185">
        <f>E19+E20</f>
        <v>32500000</v>
      </c>
      <c r="G24" s="185">
        <f>G19+G20</f>
        <v>1105000000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5</vt:i4>
      </vt:variant>
    </vt:vector>
  </HeadingPairs>
  <TitlesOfParts>
    <vt:vector size="15" baseType="lpstr">
      <vt:lpstr>Cau 1</vt:lpstr>
      <vt:lpstr>NKC-Socai</vt:lpstr>
      <vt:lpstr>NXT</vt:lpstr>
      <vt:lpstr>Bang CDPS</vt:lpstr>
      <vt:lpstr>CDKT</vt:lpstr>
      <vt:lpstr>KQKD</vt:lpstr>
      <vt:lpstr>LCTT</vt:lpstr>
      <vt:lpstr>Luong-BH</vt:lpstr>
      <vt:lpstr>DT_XK</vt:lpstr>
      <vt:lpstr>Sheet1</vt:lpstr>
      <vt:lpstr>'Bang CDPS'!Print_Area</vt:lpstr>
      <vt:lpstr>CDKT!Print_Area</vt:lpstr>
      <vt:lpstr>KQKD!Print_Area</vt:lpstr>
      <vt:lpstr>LCTT!Print_Area</vt:lpstr>
      <vt:lpstr>'NKC-Socai'!Print_Area</vt:lpstr>
    </vt:vector>
  </TitlesOfParts>
  <Company>CTY DLDS SAIGON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Ulysses R. Gotera</dc:creator>
  <cp:lastModifiedBy>LINH</cp:lastModifiedBy>
  <cp:lastPrinted>2021-01-19T06:56:23Z</cp:lastPrinted>
  <dcterms:created xsi:type="dcterms:W3CDTF">2002-11-02T02:45:08Z</dcterms:created>
  <dcterms:modified xsi:type="dcterms:W3CDTF">2023-11-27T11:15:26Z</dcterms:modified>
</cp:coreProperties>
</file>