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27" activeTab="0"/>
  </bookViews>
  <sheets>
    <sheet name="ĐỀ THI" sheetId="1" r:id="rId1"/>
    <sheet name="THANG DIEM" sheetId="2" r:id="rId2"/>
    <sheet name="TT DN" sheetId="3" r:id="rId3"/>
    <sheet name="CHUNG TU" sheetId="4" r:id="rId4"/>
    <sheet name="SDDK" sheetId="5" r:id="rId5"/>
    <sheet name="Sổ chi tiết TM" sheetId="6" r:id="rId6"/>
    <sheet name="CPSXKD 622" sheetId="7" r:id="rId7"/>
    <sheet name="LCTiềnTệ" sheetId="8" r:id="rId8"/>
    <sheet name="Vung DK" sheetId="9" r:id="rId9"/>
  </sheets>
  <definedNames>
    <definedName name="_Fill" hidden="1">#REF!</definedName>
    <definedName name="_xlnm._FilterDatabase" localSheetId="5" hidden="1">'Sổ chi tiết TM'!$B$13:$J$340</definedName>
    <definedName name="_xlfn.SUMIFS" hidden="1">#NAME?</definedName>
    <definedName name="BDMTK">'SDDK'!$C$6:$O$65536</definedName>
    <definedName name="SOKTMAY">'CHUNG TU'!$A$6:$I$65536</definedName>
  </definedNames>
  <calcPr fullCalcOnLoad="1"/>
</workbook>
</file>

<file path=xl/comments5.xml><?xml version="1.0" encoding="utf-8"?>
<comments xmlns="http://schemas.openxmlformats.org/spreadsheetml/2006/main">
  <authors>
    <author>DANH</author>
  </authors>
  <commentList>
    <comment ref="M5" authorId="0">
      <text>
        <r>
          <rPr>
            <b/>
            <sz val="9"/>
            <rFont val="Tahoma"/>
            <family val="2"/>
          </rPr>
          <t>chuyển mã cho các TK lưỡng tính</t>
        </r>
        <r>
          <rPr>
            <sz val="9"/>
            <rFont val="Tahoma"/>
            <family val="2"/>
          </rPr>
          <t xml:space="preserve">
</t>
        </r>
      </text>
    </comment>
    <comment ref="N5" authorId="0">
      <text>
        <r>
          <rPr>
            <b/>
            <sz val="9"/>
            <rFont val="Tahoma"/>
            <family val="2"/>
          </rPr>
          <t>chuyển dấu cho TK bị chuyển mã, TK hao mòn, TK dự phòng và TK cổ phiếu quỹ</t>
        </r>
        <r>
          <rPr>
            <sz val="9"/>
            <rFont val="Tahoma"/>
            <family val="2"/>
          </rPr>
          <t xml:space="preserve">
</t>
        </r>
      </text>
    </comment>
  </commentList>
</comments>
</file>

<file path=xl/sharedStrings.xml><?xml version="1.0" encoding="utf-8"?>
<sst xmlns="http://schemas.openxmlformats.org/spreadsheetml/2006/main" count="3413" uniqueCount="1374">
  <si>
    <t>413</t>
  </si>
  <si>
    <t>414</t>
  </si>
  <si>
    <t>Quỹ đầu tư phát triển</t>
  </si>
  <si>
    <t>417</t>
  </si>
  <si>
    <t>421</t>
  </si>
  <si>
    <t>Quỹ khen thưởng</t>
  </si>
  <si>
    <t>441</t>
  </si>
  <si>
    <t>Nguồn vốn đầu tư xây dựng cơ bản</t>
  </si>
  <si>
    <t>4611</t>
  </si>
  <si>
    <t>Nguồn kinh phí sự nghiệp năm trước</t>
  </si>
  <si>
    <t>4612</t>
  </si>
  <si>
    <t>Nguồn kinh phí sự nghiệp năm nay</t>
  </si>
  <si>
    <t>466</t>
  </si>
  <si>
    <t>5111</t>
  </si>
  <si>
    <t>Doanh thu bán hàng hóa</t>
  </si>
  <si>
    <t>5112</t>
  </si>
  <si>
    <t>Doanh thu bán thành phẩm</t>
  </si>
  <si>
    <t>5113</t>
  </si>
  <si>
    <t>Doanh thu cung cấp dịch vụ</t>
  </si>
  <si>
    <t>5121</t>
  </si>
  <si>
    <t>5122</t>
  </si>
  <si>
    <t>5123</t>
  </si>
  <si>
    <t>5151</t>
  </si>
  <si>
    <t>5152</t>
  </si>
  <si>
    <t>Chiết khấu hàng bán</t>
  </si>
  <si>
    <t>Giảm giá hàng bán</t>
  </si>
  <si>
    <t>621.PX1.F01</t>
  </si>
  <si>
    <t>621.PX1.F02</t>
  </si>
  <si>
    <t>621.PX2.A</t>
  </si>
  <si>
    <t>621.PX2.B</t>
  </si>
  <si>
    <t>622.PX1.F01</t>
  </si>
  <si>
    <t>622.PX1.F02</t>
  </si>
  <si>
    <t>622.PX2.A</t>
  </si>
  <si>
    <t>622.PX2.B</t>
  </si>
  <si>
    <t>6271.PX1</t>
  </si>
  <si>
    <t>Chi phí nhân viên PX1</t>
  </si>
  <si>
    <t>6271.PX2</t>
  </si>
  <si>
    <t>Chi phí nhân viên PX2</t>
  </si>
  <si>
    <t>6272.PX1</t>
  </si>
  <si>
    <t>Chi phí nguyên vật liệu  PX1</t>
  </si>
  <si>
    <t>6272.PX2</t>
  </si>
  <si>
    <t>Chi phí nguyên vật liệu  PX2</t>
  </si>
  <si>
    <t>6273.PX1</t>
  </si>
  <si>
    <t>Chi phí dụng cụ sản xuất PX1</t>
  </si>
  <si>
    <t>6273.PX2</t>
  </si>
  <si>
    <t>Chi phí dụng cụ sản xuất PX2</t>
  </si>
  <si>
    <t>6274.PX1</t>
  </si>
  <si>
    <t>Chi phí khấu hao PX1</t>
  </si>
  <si>
    <t>6274.PX2</t>
  </si>
  <si>
    <t>Chi phí khấu hao PX2</t>
  </si>
  <si>
    <t>6277.PX1</t>
  </si>
  <si>
    <t>Chi phí dịch vụ mua ngoài PX1</t>
  </si>
  <si>
    <t>6277.PX2</t>
  </si>
  <si>
    <t>Chi phí dịch vụ mua ngoài PX2</t>
  </si>
  <si>
    <t>6278.PX1</t>
  </si>
  <si>
    <t>Chi phí bằng tiền khác PX1</t>
  </si>
  <si>
    <t>6278.PX2</t>
  </si>
  <si>
    <t>Chi phí bằng tiền khác PX2</t>
  </si>
  <si>
    <t>6279.PX1</t>
  </si>
  <si>
    <t>Tổng chi phí phân xưởng 1 phải phân bổ</t>
  </si>
  <si>
    <t>6279.PX2</t>
  </si>
  <si>
    <t>Tổng chi phí phân xưởng 2 phải phân bổ</t>
  </si>
  <si>
    <t>632</t>
  </si>
  <si>
    <t>Giá vốn hàng bán</t>
  </si>
  <si>
    <t>6351</t>
  </si>
  <si>
    <t>Chi phí hoạt động tài chính (lãi vay)</t>
  </si>
  <si>
    <t>6358</t>
  </si>
  <si>
    <t>Chi phí hoạt động tài chính (chi khác)</t>
  </si>
  <si>
    <t>6411</t>
  </si>
  <si>
    <t>Chi phí nhân viên bán hàng</t>
  </si>
  <si>
    <t>6412</t>
  </si>
  <si>
    <t>Chi phí vật liệu, bao bì hàng bán</t>
  </si>
  <si>
    <t>6413</t>
  </si>
  <si>
    <t>Chi phí dụng cụ, đồ dùng bán hàng</t>
  </si>
  <si>
    <t>6414</t>
  </si>
  <si>
    <t>Chi phí khấu hao TSCĐ bán hàng</t>
  </si>
  <si>
    <t>6415</t>
  </si>
  <si>
    <t>Chi phí bảo hành bán hàng</t>
  </si>
  <si>
    <t>6417</t>
  </si>
  <si>
    <t>Chi phí dịch vụ bán hàng</t>
  </si>
  <si>
    <t>6418</t>
  </si>
  <si>
    <t>Chi phí bằng tiền khác - bán hàng</t>
  </si>
  <si>
    <t>6421</t>
  </si>
  <si>
    <t>Chi phí quản lý doanh nghiệp</t>
  </si>
  <si>
    <t>6422</t>
  </si>
  <si>
    <t>Chi phí vật liệu quản lý doanh nghiệp</t>
  </si>
  <si>
    <t>6423</t>
  </si>
  <si>
    <t>Chi phí dụng cụ, đồ dùng quản lý doanh nghiệp</t>
  </si>
  <si>
    <t>6424</t>
  </si>
  <si>
    <t>Chi phí khấu Hao TSCĐ quản lý doanh nghiệp</t>
  </si>
  <si>
    <t>6425</t>
  </si>
  <si>
    <t>Thuế, phí và lệ phí quản lý doanh nghiệp</t>
  </si>
  <si>
    <t>6426</t>
  </si>
  <si>
    <t>Chi phí dự phòng</t>
  </si>
  <si>
    <t>6427</t>
  </si>
  <si>
    <t>Chi phí bằng tiền khác quản lý doanh nghiệp</t>
  </si>
  <si>
    <t>6428</t>
  </si>
  <si>
    <t>7111</t>
  </si>
  <si>
    <t>Các khoản thu nhập khác - phải nộp thuế thu nhập</t>
  </si>
  <si>
    <t>7112</t>
  </si>
  <si>
    <t>Các khoản thu nhập khác - không phải nộp thuế thu nhập</t>
  </si>
  <si>
    <t>811</t>
  </si>
  <si>
    <t>911</t>
  </si>
  <si>
    <t>Xác định kết quả kinh doanh</t>
  </si>
  <si>
    <t>Tổng cộng:</t>
  </si>
  <si>
    <t>NGÀY
GHI SỔ</t>
  </si>
  <si>
    <t>SỐ PHIẾU THU/CHI</t>
  </si>
  <si>
    <t>NGÀY 
CHỨNG TỪ</t>
  </si>
  <si>
    <t>DIỄN GIẢI</t>
  </si>
  <si>
    <t>TKGHINO</t>
  </si>
  <si>
    <t>TKGHICO</t>
  </si>
  <si>
    <t>SỐ LUỢNG PHÁT SINH</t>
  </si>
  <si>
    <t>SỐ TIỀN PHÁT SINH</t>
  </si>
  <si>
    <t>Công ty GEMARTRANS</t>
  </si>
  <si>
    <t>Công Ty Đan Anh</t>
  </si>
  <si>
    <t>DNTN Kiến Phú</t>
  </si>
  <si>
    <t>Cửa hàng điện máy số 04</t>
  </si>
  <si>
    <t>XN LIDOVIT</t>
  </si>
  <si>
    <t>GHI NỢ TÀI KHOẢN 622</t>
  </si>
  <si>
    <t>Xí Nghiệp LIDOVIT</t>
  </si>
  <si>
    <t xml:space="preserve">Công ty GEMARTRANS </t>
  </si>
  <si>
    <t>SỐ HIỆU</t>
  </si>
  <si>
    <t>111</t>
  </si>
  <si>
    <t>NGÀY GHI SỔ</t>
  </si>
  <si>
    <t>CHỨNG TỪ</t>
  </si>
  <si>
    <t>TÀI KHOẢN KHÁC</t>
  </si>
  <si>
    <t>SỐ</t>
  </si>
  <si>
    <t>NGÀY</t>
  </si>
  <si>
    <t>SỐ TIỀN</t>
  </si>
  <si>
    <t>Tổng cộng</t>
  </si>
  <si>
    <t>NỢ</t>
  </si>
  <si>
    <t>TỔNG SỐ PHÁT SINH</t>
  </si>
  <si>
    <t xml:space="preserve">TK ĐỐI ỨNG </t>
  </si>
  <si>
    <t>kg</t>
  </si>
  <si>
    <t>cái</t>
  </si>
  <si>
    <t>lít</t>
  </si>
  <si>
    <t>337</t>
  </si>
  <si>
    <t>Dự phòng giảm giá hàng tồn kho (*)</t>
  </si>
  <si>
    <t>Đầu tư vào công ty con</t>
  </si>
  <si>
    <t>Vốn góp liên doanh</t>
  </si>
  <si>
    <t>Các quỹ khác thuộc vốn chủ sở hữu</t>
  </si>
  <si>
    <t>Chênh lệch tỷ giá hối đoái</t>
  </si>
  <si>
    <t>Lợi nhuận sau thuế chưa phân phối</t>
  </si>
  <si>
    <t>Nguồn kinh phí đã hình thành nên TSCĐ</t>
  </si>
  <si>
    <t>Quỹ phúc lợi</t>
  </si>
  <si>
    <t>Chi phí khác</t>
  </si>
  <si>
    <t>SỔ CHI PHÍ SẢN XUẤT KINH DOANH</t>
  </si>
  <si>
    <t>GHI CÓ CÁC TÀI KHOẢN</t>
  </si>
  <si>
    <t>TK ĐỐI ỨNG</t>
  </si>
  <si>
    <t>GHI CÓ TK 622</t>
  </si>
  <si>
    <t>1112</t>
  </si>
  <si>
    <t>Tiền ngoại tệ mặt (USD)</t>
  </si>
  <si>
    <t>1122</t>
  </si>
  <si>
    <t>Tiền gửi ngân hàng (USD)</t>
  </si>
  <si>
    <t>Ký quỹ - ký cược ngắn hạn</t>
  </si>
  <si>
    <t>333111</t>
  </si>
  <si>
    <t>Thuế GTGT đầu ra hoạt động kinh doanh</t>
  </si>
  <si>
    <t>333112</t>
  </si>
  <si>
    <t>Thuế GTGT đầu ra hoạt động tài chính</t>
  </si>
  <si>
    <t>333113</t>
  </si>
  <si>
    <t>Thuế GTGT đầu ra hoạt động khác</t>
  </si>
  <si>
    <t>Thuế tiêu thụ đặc biệt</t>
  </si>
  <si>
    <t>Thuế thu nhập cá nhân</t>
  </si>
  <si>
    <t>Thanh toán theo tiến độ KH hợp đồng xây dựng</t>
  </si>
  <si>
    <t>3387</t>
  </si>
  <si>
    <t>Doanh thu chưa thực hiện</t>
  </si>
  <si>
    <t>3382</t>
  </si>
  <si>
    <t>Kinh phí công đoàn</t>
  </si>
  <si>
    <t>3383</t>
  </si>
  <si>
    <t>Bảo hiễm xã hội</t>
  </si>
  <si>
    <t>3384</t>
  </si>
  <si>
    <t>Bảo hiễm y tế</t>
  </si>
  <si>
    <t>3388</t>
  </si>
  <si>
    <t>Bảo hiễm thất nghiệp</t>
  </si>
  <si>
    <t>3531</t>
  </si>
  <si>
    <t>3532</t>
  </si>
  <si>
    <t>3533</t>
  </si>
  <si>
    <t>Quỹ phúc lợi đã hình thành nên TSCĐ</t>
  </si>
  <si>
    <t>3534</t>
  </si>
  <si>
    <t>Quỹ thưởng ban quản lý điều hành công ty</t>
  </si>
  <si>
    <t>356</t>
  </si>
  <si>
    <t>Quỹ phát triển khoa học và công nghệ</t>
  </si>
  <si>
    <t>Quỹ hỗ trợ sắp xếp doanh nghiệp</t>
  </si>
  <si>
    <t>Chi phí dịch vụ quản lý doanh nghiệp</t>
  </si>
  <si>
    <t>KIỂM TRA TKNO</t>
  </si>
  <si>
    <t>KIỂM TRA TKCO</t>
  </si>
  <si>
    <t>PT10/001</t>
  </si>
  <si>
    <t>Nguyễn Minh Ngân</t>
  </si>
  <si>
    <t>PC10/001</t>
  </si>
  <si>
    <t>Công ty cho thuê Tài Chính</t>
  </si>
  <si>
    <t>PC10/002</t>
  </si>
  <si>
    <t>PC10/003</t>
  </si>
  <si>
    <t>Trạm thu phí XL Hà Nội</t>
  </si>
  <si>
    <t>PC10/004</t>
  </si>
  <si>
    <t>PC10/005</t>
  </si>
  <si>
    <t>NH Ngoại Thương</t>
  </si>
  <si>
    <t>PN 10/001NVL</t>
  </si>
  <si>
    <t>Công ty LOGITIC</t>
  </si>
  <si>
    <t>PC10/006</t>
  </si>
  <si>
    <t>PC10/007</t>
  </si>
  <si>
    <t>PC10/008</t>
  </si>
  <si>
    <t>PN 10/002NVL</t>
  </si>
  <si>
    <t>PC10/009</t>
  </si>
  <si>
    <t>PN 10/003NVL</t>
  </si>
  <si>
    <t>PC10/010</t>
  </si>
  <si>
    <t>PN 10/004NVL</t>
  </si>
  <si>
    <t>PT10/002</t>
  </si>
  <si>
    <t>PT10/003</t>
  </si>
  <si>
    <t>PC10/011</t>
  </si>
  <si>
    <t>PT10/004</t>
  </si>
  <si>
    <t>PT10/005</t>
  </si>
  <si>
    <t>PT10/006</t>
  </si>
  <si>
    <t>PT10/007</t>
  </si>
  <si>
    <t>PT10/008</t>
  </si>
  <si>
    <t>PT10/009</t>
  </si>
  <si>
    <t>PT10/010</t>
  </si>
  <si>
    <t>PT10/011</t>
  </si>
  <si>
    <t>PT10/012</t>
  </si>
  <si>
    <t>PT10/013</t>
  </si>
  <si>
    <t>PC10/012</t>
  </si>
  <si>
    <t>PC10/013</t>
  </si>
  <si>
    <t>PC10/014</t>
  </si>
  <si>
    <t>PX 10/001NVL</t>
  </si>
  <si>
    <t>PC10/015</t>
  </si>
  <si>
    <t>PC10/016</t>
  </si>
  <si>
    <t>PN 10/006NVL</t>
  </si>
  <si>
    <t>PC10/017</t>
  </si>
  <si>
    <t>PC10/018</t>
  </si>
  <si>
    <t>PC10/019</t>
  </si>
  <si>
    <t>PC10/020</t>
  </si>
  <si>
    <t>PC10/021</t>
  </si>
  <si>
    <t>PC10/022</t>
  </si>
  <si>
    <t>PC10/023</t>
  </si>
  <si>
    <t>PC10/024</t>
  </si>
  <si>
    <t>PC10/025</t>
  </si>
  <si>
    <t>PC10/026</t>
  </si>
  <si>
    <t>PN 10/007NVL</t>
  </si>
  <si>
    <t>PN 10/008NVL</t>
  </si>
  <si>
    <t>PN 10/009NVL</t>
  </si>
  <si>
    <t>PN 10/010NVL</t>
  </si>
  <si>
    <t>PN 10/011NVL</t>
  </si>
  <si>
    <t>PN 10/012NVL</t>
  </si>
  <si>
    <t>PN 10/013NVL</t>
  </si>
  <si>
    <t>PN 10/014NVL</t>
  </si>
  <si>
    <t>PN 10/015NVL</t>
  </si>
  <si>
    <t>PN 10/016NVL</t>
  </si>
  <si>
    <t>PN 10/017NVL</t>
  </si>
  <si>
    <t>PN 10/018NVL</t>
  </si>
  <si>
    <t>PN 10/001TP</t>
  </si>
  <si>
    <t>PN 10/002TP</t>
  </si>
  <si>
    <t>PX 10/001TP</t>
  </si>
  <si>
    <t>PX 10/002TP</t>
  </si>
  <si>
    <t>PX 10/003TP</t>
  </si>
  <si>
    <t>PX 10/004TP</t>
  </si>
  <si>
    <t>Công ty Metro</t>
  </si>
  <si>
    <t>PX 10/005TP</t>
  </si>
  <si>
    <t>PX 10/006TP</t>
  </si>
  <si>
    <t>PX 10/007TP</t>
  </si>
  <si>
    <t>PC10/027</t>
  </si>
  <si>
    <t>PX 10/008TP</t>
  </si>
  <si>
    <t>PX 10/002NVL</t>
  </si>
  <si>
    <t>PN 10/003TP</t>
  </si>
  <si>
    <t>PX 10/009TP</t>
  </si>
  <si>
    <t>PX 10/003NVL</t>
  </si>
  <si>
    <t>PX 10/004NVL</t>
  </si>
  <si>
    <t>PX 10/005NVL</t>
  </si>
  <si>
    <t>PX 10/01CCDC</t>
  </si>
  <si>
    <t>PX 10/02CCDC</t>
  </si>
  <si>
    <t>PN 10/004TP</t>
  </si>
  <si>
    <t>PX 10/010TP</t>
  </si>
  <si>
    <t>PX 10/006NVL</t>
  </si>
  <si>
    <t>PX 10/007NVL</t>
  </si>
  <si>
    <t>PX 10/008NVL</t>
  </si>
  <si>
    <t>PX 10/009NVL</t>
  </si>
  <si>
    <t>PX 10/010NVL</t>
  </si>
  <si>
    <t>PX 10/011NVL</t>
  </si>
  <si>
    <t>PX 10/012NVL</t>
  </si>
  <si>
    <t>PX 10/03CCDC</t>
  </si>
  <si>
    <t>PX 10/04CCDC</t>
  </si>
  <si>
    <t>PX 10/011TP</t>
  </si>
  <si>
    <t>PT10/014</t>
  </si>
  <si>
    <t>PN 10/019NVL</t>
  </si>
  <si>
    <t>PN 10/005TP</t>
  </si>
  <si>
    <t>PX 10/012TP</t>
  </si>
  <si>
    <t>PN 10/020NVL</t>
  </si>
  <si>
    <t>PX 10/013TP</t>
  </si>
  <si>
    <t>PX 10/014TP</t>
  </si>
  <si>
    <t>PN 10/021NVL</t>
  </si>
  <si>
    <t>PC10/028</t>
  </si>
  <si>
    <t>PN 10/022NVL</t>
  </si>
  <si>
    <t>PN 10/023NVL</t>
  </si>
  <si>
    <t>PN 10/024NVL</t>
  </si>
  <si>
    <t>PT10/015</t>
  </si>
  <si>
    <t>Nội dung</t>
  </si>
  <si>
    <t>418</t>
  </si>
  <si>
    <t>419</t>
  </si>
  <si>
    <t>20</t>
  </si>
  <si>
    <t>21</t>
  </si>
  <si>
    <t>22</t>
  </si>
  <si>
    <t>23</t>
  </si>
  <si>
    <t>24</t>
  </si>
  <si>
    <t>25</t>
  </si>
  <si>
    <t>30</t>
  </si>
  <si>
    <t>31</t>
  </si>
  <si>
    <t>32</t>
  </si>
  <si>
    <t>40</t>
  </si>
  <si>
    <t>50</t>
  </si>
  <si>
    <t>60</t>
  </si>
  <si>
    <t/>
  </si>
  <si>
    <t>33</t>
  </si>
  <si>
    <t>BÁO CÁO LƯU CHUYỂN TIỀN TỆ</t>
  </si>
  <si>
    <t>(Theo phương pháp trực tiếp)</t>
  </si>
  <si>
    <t>I. LƯU CHUYỂN TIỀN TỆ TỪ HOẠT ĐỘNG KINH DOANH</t>
  </si>
  <si>
    <t xml:space="preserve">   1. Tiền thu từ bán hàng</t>
  </si>
  <si>
    <t>01</t>
  </si>
  <si>
    <t xml:space="preserve">   2. Tiền trả cho người cung cấp hàng hoá</t>
  </si>
  <si>
    <t>02</t>
  </si>
  <si>
    <t xml:space="preserve">   3. Tiền trả cho người lao động</t>
  </si>
  <si>
    <t>03</t>
  </si>
  <si>
    <t xml:space="preserve">   4. Tiền chi trả lãi vay</t>
  </si>
  <si>
    <t>04</t>
  </si>
  <si>
    <t xml:space="preserve">   5. Tiền chi nộp thuế Thu nhập doanh nghiệp</t>
  </si>
  <si>
    <t>05</t>
  </si>
  <si>
    <t xml:space="preserve">   6. Tiền thu khác từ hoạt động kinh doanh</t>
  </si>
  <si>
    <t>06</t>
  </si>
  <si>
    <t xml:space="preserve">   7. Tiền chi khác cho hoạt động kinh doanh</t>
  </si>
  <si>
    <t>07</t>
  </si>
  <si>
    <t xml:space="preserve">   Lưu chuyển tiền thuần từ hoạt động kinh doanh</t>
  </si>
  <si>
    <t>II- LƯU CHUYỂN TIỀN TỪ HOẠT ĐỘNG ĐẦU TƯ</t>
  </si>
  <si>
    <t xml:space="preserve">   1. Tiền chi mua sắm tài sản cố định</t>
  </si>
  <si>
    <t xml:space="preserve">   2. Tiền thu thanh lý, nhượng bán TSCĐ và các TS dài hạn khác</t>
  </si>
  <si>
    <t xml:space="preserve">   3. Tiền chi cho vay, mua các công cụ nợ của các đv khác</t>
  </si>
  <si>
    <t xml:space="preserve">   4. Tiền thu hồi cho vay, bán lại các công cụ nợ của các đvị khác</t>
  </si>
  <si>
    <t xml:space="preserve">   5. Tiền chi góp vốn vào các đơn vị khác</t>
  </si>
  <si>
    <t xml:space="preserve">   6. Tiền thu hồi đầu tư, góp vốn vào các đơn vị khác</t>
  </si>
  <si>
    <t>26</t>
  </si>
  <si>
    <t xml:space="preserve">   7. Thu lãi tiền cho vay, tiền gửi, cổ tức và lợi nhuận được chia</t>
  </si>
  <si>
    <t>27</t>
  </si>
  <si>
    <t xml:space="preserve">   Lưu chuyển tiền thuần từ hoạt động đầu tư</t>
  </si>
  <si>
    <t>III- LƯU CHUYỂN TIỀN TỪ HOẠT ĐỘNG TÀI CHÍNH</t>
  </si>
  <si>
    <t xml:space="preserve">   1. Tiền thu từ phát hành cổ phiếu, nhận vốn góp của chủ sở hữu</t>
  </si>
  <si>
    <t xml:space="preserve">   2. Tiền trả vốn góp cho các chủ sở hữu, mua lại cổ phiếu đã phát hành</t>
  </si>
  <si>
    <t xml:space="preserve">   3. Tiền vay ngắn hạn, dài hạn nhận được</t>
  </si>
  <si>
    <t xml:space="preserve">   4. Tiền trả nợ gốc vay</t>
  </si>
  <si>
    <t>34</t>
  </si>
  <si>
    <t xml:space="preserve">   5. Tiền trả nợ thuê tài chính</t>
  </si>
  <si>
    <t>35</t>
  </si>
  <si>
    <t xml:space="preserve">   6. Cổ tức, lợi nhuận đã trả cho chủ sở hữu</t>
  </si>
  <si>
    <t>36</t>
  </si>
  <si>
    <t xml:space="preserve">   Lưu chuyển tiền thuần từ hoạt động tài chính</t>
  </si>
  <si>
    <t xml:space="preserve">   Lưu chuyển tiền thuần trong kỳ</t>
  </si>
  <si>
    <t xml:space="preserve">   Tiền và tương đương tiền đầu kỳ</t>
  </si>
  <si>
    <t xml:space="preserve">   Ảnh hưởng của thay đổi tỷ giá ngoại tệ</t>
  </si>
  <si>
    <t>61</t>
  </si>
  <si>
    <t xml:space="preserve">   Tiền và tương đương tiền cuối kỳ</t>
  </si>
  <si>
    <t>70</t>
  </si>
  <si>
    <t>1381</t>
  </si>
  <si>
    <t>SLG TỒN CUỐI KỲ</t>
  </si>
  <si>
    <t>MÃ CẤP
 TGDK</t>
  </si>
  <si>
    <t>MÃ TSNV</t>
  </si>
  <si>
    <t>SỐ
 HIỆU TK</t>
  </si>
  <si>
    <t>LOẠI TK</t>
  </si>
  <si>
    <t>TÊN TÀI KHOẢN</t>
  </si>
  <si>
    <t>SLG TỒN ĐẦU KỲ</t>
  </si>
  <si>
    <t>SỐ DƯ ĐẦU KỲ</t>
  </si>
  <si>
    <t>SỐ PHÁT SINH NỢ</t>
  </si>
  <si>
    <t>SỐ PHÁT SINH CÓ</t>
  </si>
  <si>
    <t>SỐ DƯ CUỐI KỲ</t>
  </si>
  <si>
    <t>MÃ CẤP
 TGCK</t>
  </si>
  <si>
    <t>SỐ DƯ
 TGDK</t>
  </si>
  <si>
    <t>SỐ DƯ TGCK</t>
  </si>
  <si>
    <t>1111</t>
  </si>
  <si>
    <t>N</t>
  </si>
  <si>
    <t>Tiền mặt tại quỹ, ngân phiếu (VNĐ)</t>
  </si>
  <si>
    <t>1121</t>
  </si>
  <si>
    <t>Tiền gửi ngân hàng (VNĐ)</t>
  </si>
  <si>
    <t>1131</t>
  </si>
  <si>
    <t>Tiền đang chuyển</t>
  </si>
  <si>
    <t>12111</t>
  </si>
  <si>
    <t>Kỳ phiếu ngắn hạn (không quá 3 tháng)</t>
  </si>
  <si>
    <t>Tín phiếu kho bạc (không quá 3 tháng)</t>
  </si>
  <si>
    <t>12121</t>
  </si>
  <si>
    <t>Cổ phiếu (hơn 3 tháng nhưng không quá 1 năm)</t>
  </si>
  <si>
    <t>12122</t>
  </si>
  <si>
    <t>Trái phiếu (hơn 3 tháng nhưng không quá 1 năm)</t>
  </si>
  <si>
    <t>Đầu tư ngắn hạn khác (tiền cho vay)</t>
  </si>
  <si>
    <t>Đầu tư ngắn hạn khác</t>
  </si>
  <si>
    <t>C</t>
  </si>
  <si>
    <t>1311.001</t>
  </si>
  <si>
    <t>1311.002</t>
  </si>
  <si>
    <t>1311.003</t>
  </si>
  <si>
    <t>1311.004</t>
  </si>
  <si>
    <t>1311.005</t>
  </si>
  <si>
    <t>1311.006</t>
  </si>
  <si>
    <t>1311.007</t>
  </si>
  <si>
    <t>1312.001</t>
  </si>
  <si>
    <t>1312.002</t>
  </si>
  <si>
    <t>1312.003</t>
  </si>
  <si>
    <t>1312.004</t>
  </si>
  <si>
    <t>1312.005</t>
  </si>
  <si>
    <t>1312.006</t>
  </si>
  <si>
    <t>1312.007</t>
  </si>
  <si>
    <t>1331</t>
  </si>
  <si>
    <t>Thuế GTGT được khấu trừ của hàng hóa, dịch vụ</t>
  </si>
  <si>
    <t>1332</t>
  </si>
  <si>
    <t>Thuế GTGT được khấu trừ của TSCĐ</t>
  </si>
  <si>
    <t>1333</t>
  </si>
  <si>
    <t>Thuế GTGT đã đề nghị hoàn</t>
  </si>
  <si>
    <t>Phải thu ngắn hạn nội bộ</t>
  </si>
  <si>
    <t>Phải thu dài hạn nội bộ</t>
  </si>
  <si>
    <t>Tài sản thiếu chờ xử lý</t>
  </si>
  <si>
    <t>138811</t>
  </si>
  <si>
    <t>Các khoản phải thu khác (Thuế GTGT được giảm)</t>
  </si>
  <si>
    <t>138812</t>
  </si>
  <si>
    <t>Các khoản phải thu khác (Thuế TNDN được giảm)</t>
  </si>
  <si>
    <t>13883</t>
  </si>
  <si>
    <t>Các khoản phải thu khác (Thuế GTGT được hoàn lại)</t>
  </si>
  <si>
    <t>13888</t>
  </si>
  <si>
    <t>Các khoản phải thu khác</t>
  </si>
  <si>
    <t>Dự phòng các khoản phải thu ngắn hạn khó đòi (*)</t>
  </si>
  <si>
    <t>Dự phòng các khoản phải thu dài hạn khó đòi (*)</t>
  </si>
  <si>
    <t>141.001</t>
  </si>
  <si>
    <t>141.002</t>
  </si>
  <si>
    <t>1521.A01</t>
  </si>
  <si>
    <t>1522.B01</t>
  </si>
  <si>
    <t>1522.B02</t>
  </si>
  <si>
    <t>1523.C01</t>
  </si>
  <si>
    <t>1524.D01</t>
  </si>
  <si>
    <t>1528.E01</t>
  </si>
  <si>
    <t>154.PX1.F01</t>
  </si>
  <si>
    <t>154.PX1.F02</t>
  </si>
  <si>
    <t>154.PX2.B01</t>
  </si>
  <si>
    <t>155.F01</t>
  </si>
  <si>
    <t>155.F02</t>
  </si>
  <si>
    <t>157</t>
  </si>
  <si>
    <t>211</t>
  </si>
  <si>
    <t>Nguyên giá tài sản cố định hữu hình</t>
  </si>
  <si>
    <t>212</t>
  </si>
  <si>
    <t>Tài sản cố định thuê tài chính</t>
  </si>
  <si>
    <t>213</t>
  </si>
  <si>
    <t>Tài sản cố định vô hình</t>
  </si>
  <si>
    <t>2141</t>
  </si>
  <si>
    <t>Hao mòn TSCĐ hữu hình lũy kế (*)</t>
  </si>
  <si>
    <t>2142</t>
  </si>
  <si>
    <t>Hao mòn TSCĐ thuê tài chính lũy kế (*)</t>
  </si>
  <si>
    <t>2143</t>
  </si>
  <si>
    <t>Hao mòn TSCĐ vô hình lũy kế (*)</t>
  </si>
  <si>
    <t>2147</t>
  </si>
  <si>
    <t>Hao mòn bất động sản đầu tư lũy kế (*)</t>
  </si>
  <si>
    <t>217</t>
  </si>
  <si>
    <t>Bất động sản đầu tư</t>
  </si>
  <si>
    <t>221</t>
  </si>
  <si>
    <t>222</t>
  </si>
  <si>
    <t>228</t>
  </si>
  <si>
    <t>Các khoản đầu tư dài hạn khác</t>
  </si>
  <si>
    <t>Xây dựng cơ bản dở dang</t>
  </si>
  <si>
    <t>Ký quỹ - ký cược dài hạn</t>
  </si>
  <si>
    <t>3311.001</t>
  </si>
  <si>
    <t>3311.002</t>
  </si>
  <si>
    <t>3311.003</t>
  </si>
  <si>
    <t>3311.004</t>
  </si>
  <si>
    <t>3311.005</t>
  </si>
  <si>
    <t>3311.006</t>
  </si>
  <si>
    <t>3311.007</t>
  </si>
  <si>
    <t>3311.008</t>
  </si>
  <si>
    <t>3311.009</t>
  </si>
  <si>
    <t>3311.010</t>
  </si>
  <si>
    <t>3311.011</t>
  </si>
  <si>
    <t>3311.012</t>
  </si>
  <si>
    <t>3311.013</t>
  </si>
  <si>
    <t>3311.014</t>
  </si>
  <si>
    <t>3312.001</t>
  </si>
  <si>
    <t>3312.002</t>
  </si>
  <si>
    <t>3312.003</t>
  </si>
  <si>
    <t>3312.004</t>
  </si>
  <si>
    <t>3312.005</t>
  </si>
  <si>
    <t>3312.006</t>
  </si>
  <si>
    <t>33312</t>
  </si>
  <si>
    <t>Thuế GTGT hàng nhập khẩu</t>
  </si>
  <si>
    <t>33313</t>
  </si>
  <si>
    <t>Thuế GTGT hàng bán bị trả lại, giảm giá, chiết khấu</t>
  </si>
  <si>
    <t>3332</t>
  </si>
  <si>
    <t>3333</t>
  </si>
  <si>
    <t>Thuế xuất nhập khẩu</t>
  </si>
  <si>
    <t>3334</t>
  </si>
  <si>
    <t>Thuế thu nhập DN</t>
  </si>
  <si>
    <t>3335</t>
  </si>
  <si>
    <t>Thuế thu trên vốn</t>
  </si>
  <si>
    <t>3336</t>
  </si>
  <si>
    <t>3337</t>
  </si>
  <si>
    <t>Thuế nhà đất, tiền thuê đất</t>
  </si>
  <si>
    <t>3338</t>
  </si>
  <si>
    <t>Các loại thuế khác</t>
  </si>
  <si>
    <t>3339</t>
  </si>
  <si>
    <t>Phí và khác khoản phải nộp</t>
  </si>
  <si>
    <t>334</t>
  </si>
  <si>
    <t>Phải trả công nhân viên</t>
  </si>
  <si>
    <t>335</t>
  </si>
  <si>
    <t>Chi phí phải trả</t>
  </si>
  <si>
    <t>3361</t>
  </si>
  <si>
    <t>Phải trả ngắn hạn nội bộ</t>
  </si>
  <si>
    <t>3362</t>
  </si>
  <si>
    <t>Phải trả dài hạn nội bộ</t>
  </si>
  <si>
    <t>338</t>
  </si>
  <si>
    <t>Phải trả, phải nộp khác</t>
  </si>
  <si>
    <t>344</t>
  </si>
  <si>
    <t>Nhận ký quỹ, ký cược dài hạn</t>
  </si>
  <si>
    <t>411</t>
  </si>
  <si>
    <t>Nguồn vốn kinh doanh</t>
  </si>
  <si>
    <t>412</t>
  </si>
  <si>
    <t>Chênh lệch đánh giá lại tài sản</t>
  </si>
  <si>
    <t>8211</t>
  </si>
  <si>
    <t>Chi phí thuế TNDN HH</t>
  </si>
  <si>
    <t>Người ghi sổ</t>
  </si>
  <si>
    <t>Kế toán trưởng</t>
  </si>
  <si>
    <t>Giám đốc</t>
  </si>
  <si>
    <t>(Ký, họ tên)</t>
  </si>
  <si>
    <t>Địa chỉ:</t>
  </si>
  <si>
    <t>- Sổ này có             trang, đánh số từ trang 01 đến trang</t>
  </si>
  <si>
    <t>- Ngày mở số:</t>
  </si>
  <si>
    <t>(Ký, họ tê)</t>
  </si>
  <si>
    <t xml:space="preserve">Ngày      tháng     năm   </t>
  </si>
  <si>
    <t>(Ký tên, đóng dấu)</t>
  </si>
  <si>
    <t>Mẫu số S07-DN</t>
  </si>
  <si>
    <t>ĐVT</t>
  </si>
  <si>
    <t>Mẫu số S36-DN</t>
  </si>
  <si>
    <t>Mẫu số : B03-DN</t>
  </si>
  <si>
    <t>PKT10/001</t>
  </si>
  <si>
    <t>PKT10/003</t>
  </si>
  <si>
    <t>Lê Văn Tám</t>
  </si>
  <si>
    <t>PKT10/004</t>
  </si>
  <si>
    <t>PKT10/005</t>
  </si>
  <si>
    <t>PKT10/006</t>
  </si>
  <si>
    <t>PKT10/007</t>
  </si>
  <si>
    <t>PKT10/008</t>
  </si>
  <si>
    <t>PKT10/009</t>
  </si>
  <si>
    <t>PKT10/010</t>
  </si>
  <si>
    <t>PKT10/011</t>
  </si>
  <si>
    <t>PKT10/012</t>
  </si>
  <si>
    <t>PKT10/013</t>
  </si>
  <si>
    <t>Nguyễn Ngọc Thiên Thanh</t>
  </si>
  <si>
    <t>Công ty Thiên Ngân</t>
  </si>
  <si>
    <t>PKT10/014</t>
  </si>
  <si>
    <t>PKT10/015</t>
  </si>
  <si>
    <t>PKT10/016</t>
  </si>
  <si>
    <t>PKT10/017</t>
  </si>
  <si>
    <t>PKT10/018</t>
  </si>
  <si>
    <t>PKT10/019</t>
  </si>
  <si>
    <t>PKT10/020</t>
  </si>
  <si>
    <t>PKT10/021</t>
  </si>
  <si>
    <t>PKT10/022</t>
  </si>
  <si>
    <t>PKT10/023</t>
  </si>
  <si>
    <t>PKT10/024</t>
  </si>
  <si>
    <t>PKT10/025</t>
  </si>
  <si>
    <t>PKT10/026</t>
  </si>
  <si>
    <t>PKT10/027</t>
  </si>
  <si>
    <t>PKT10/028</t>
  </si>
  <si>
    <t>PKT10/029</t>
  </si>
  <si>
    <t>PKT10/030</t>
  </si>
  <si>
    <t>PKT10/031</t>
  </si>
  <si>
    <t>PKT10/032</t>
  </si>
  <si>
    <t>PKT10/033</t>
  </si>
  <si>
    <t>PKT10/034</t>
  </si>
  <si>
    <t>PKT10/035</t>
  </si>
  <si>
    <t>PKT10/036</t>
  </si>
  <si>
    <t>PKT10/037</t>
  </si>
  <si>
    <t>PKT10/038</t>
  </si>
  <si>
    <t>PKT10/039</t>
  </si>
  <si>
    <t>PKT10/040</t>
  </si>
  <si>
    <t>PKT10/041</t>
  </si>
  <si>
    <t>PKT10/042</t>
  </si>
  <si>
    <t>PKT10/043</t>
  </si>
  <si>
    <t>PKT10/044</t>
  </si>
  <si>
    <t>PKT10/045</t>
  </si>
  <si>
    <t>PKT10/046</t>
  </si>
  <si>
    <t>PKT10/047</t>
  </si>
  <si>
    <t>PKT10/048</t>
  </si>
  <si>
    <t>PKT10/049</t>
  </si>
  <si>
    <t>PKT10/050</t>
  </si>
  <si>
    <t>PKT10/051</t>
  </si>
  <si>
    <t>PKT10/052</t>
  </si>
  <si>
    <t>PKT10/053</t>
  </si>
  <si>
    <t>PKT10/054</t>
  </si>
  <si>
    <t>PKT10/055</t>
  </si>
  <si>
    <t>PKT10/056</t>
  </si>
  <si>
    <t>PKT10/057</t>
  </si>
  <si>
    <t>PKT10/058</t>
  </si>
  <si>
    <t>PKT10/059</t>
  </si>
  <si>
    <t>PKT10/060</t>
  </si>
  <si>
    <t>PKT10/061</t>
  </si>
  <si>
    <t>PKT10/062</t>
  </si>
  <si>
    <t>PKT10/063</t>
  </si>
  <si>
    <t>PKT10/064</t>
  </si>
  <si>
    <t>PKT10/065</t>
  </si>
  <si>
    <t>PKT10/066</t>
  </si>
  <si>
    <t>PKT10/067</t>
  </si>
  <si>
    <t>PKT10/068</t>
  </si>
  <si>
    <t>PKT10/069</t>
  </si>
  <si>
    <t>PKT10/070</t>
  </si>
  <si>
    <t>PKT10/071</t>
  </si>
  <si>
    <t>PKT10/072</t>
  </si>
  <si>
    <t>PKT10/073</t>
  </si>
  <si>
    <t>PKT10/074</t>
  </si>
  <si>
    <t>PKT10/075</t>
  </si>
  <si>
    <t>PKT10/076</t>
  </si>
  <si>
    <t>PKT10/077</t>
  </si>
  <si>
    <t>PKT10/078</t>
  </si>
  <si>
    <t>PKT10/079</t>
  </si>
  <si>
    <t>PKT10/080</t>
  </si>
  <si>
    <t>PKT10/081</t>
  </si>
  <si>
    <t>PKT10/082</t>
  </si>
  <si>
    <t>PKT10/083</t>
  </si>
  <si>
    <t>PKT10/084</t>
  </si>
  <si>
    <t>PKT10/085</t>
  </si>
  <si>
    <t>PKT10/086</t>
  </si>
  <si>
    <t>PKT10/087</t>
  </si>
  <si>
    <t>PKT10/088</t>
  </si>
  <si>
    <t>PKT10/089</t>
  </si>
  <si>
    <t>PKT10/090</t>
  </si>
  <si>
    <t>PKT10/091</t>
  </si>
  <si>
    <t>PKT10/092</t>
  </si>
  <si>
    <t>PKT10/093</t>
  </si>
  <si>
    <t>PKT10/094</t>
  </si>
  <si>
    <t>PKT10/095</t>
  </si>
  <si>
    <t>PKT10/096</t>
  </si>
  <si>
    <t>PKT10/097</t>
  </si>
  <si>
    <t>PKT10/098</t>
  </si>
  <si>
    <t>PKT10/099</t>
  </si>
  <si>
    <t>PKT10/100</t>
  </si>
  <si>
    <t>PKT10/101</t>
  </si>
  <si>
    <t>PKT10/102</t>
  </si>
  <si>
    <t>PKT10/103</t>
  </si>
  <si>
    <t>PKT10/104</t>
  </si>
  <si>
    <t>PKT10/105</t>
  </si>
  <si>
    <t>PKT10/106</t>
  </si>
  <si>
    <t>PKT10/107</t>
  </si>
  <si>
    <t>PKT10/108</t>
  </si>
  <si>
    <t>PKT10/109</t>
  </si>
  <si>
    <t>PKT10/110</t>
  </si>
  <si>
    <t>PKT10/111</t>
  </si>
  <si>
    <t>PKT10/112</t>
  </si>
  <si>
    <t>PKT10/113</t>
  </si>
  <si>
    <t>PKT10/114</t>
  </si>
  <si>
    <t>PKT10/115</t>
  </si>
  <si>
    <t>PKT10/116</t>
  </si>
  <si>
    <t>PKT10/117</t>
  </si>
  <si>
    <t>PKT10/118</t>
  </si>
  <si>
    <t>PKT10/119</t>
  </si>
  <si>
    <t>PKT10/120</t>
  </si>
  <si>
    <t>Nguyễn Đình Đông</t>
  </si>
  <si>
    <t>PN 10/001CC</t>
  </si>
  <si>
    <t>Ông Minh Hà</t>
  </si>
  <si>
    <t>Bùi Văn Toàn</t>
  </si>
  <si>
    <t>SỐ PHIẾU 
KẾ TOÁN</t>
  </si>
  <si>
    <t>SỐ PHIẾU
NHẬP/ XUẤT</t>
  </si>
  <si>
    <t>TÊN NV/CSKD</t>
  </si>
  <si>
    <t>Cái</t>
  </si>
  <si>
    <t xml:space="preserve">Đơn vị: </t>
  </si>
  <si>
    <t>Công ty TNHH Tân Tạo</t>
  </si>
  <si>
    <t>SỐ HĐ VÀ CÁC CHỨNG TỪ KHÁC</t>
  </si>
  <si>
    <t>TK 001</t>
  </si>
  <si>
    <t>00006</t>
  </si>
  <si>
    <t>00007</t>
  </si>
  <si>
    <t>00008</t>
  </si>
  <si>
    <t>00009</t>
  </si>
  <si>
    <t>00365</t>
  </si>
  <si>
    <t>00012</t>
  </si>
  <si>
    <t>GBN 02</t>
  </si>
  <si>
    <t>GBN 03</t>
  </si>
  <si>
    <t>00034</t>
  </si>
  <si>
    <t>GBN 04</t>
  </si>
  <si>
    <t>00016</t>
  </si>
  <si>
    <t>00020</t>
  </si>
  <si>
    <t>00021</t>
  </si>
  <si>
    <t>00023</t>
  </si>
  <si>
    <t>00025</t>
  </si>
  <si>
    <t>00031</t>
  </si>
  <si>
    <t>00040</t>
  </si>
  <si>
    <t>00041</t>
  </si>
  <si>
    <t>00042</t>
  </si>
  <si>
    <t>00043</t>
  </si>
  <si>
    <t>00044</t>
  </si>
  <si>
    <t>00045</t>
  </si>
  <si>
    <t>00046</t>
  </si>
  <si>
    <t>00047</t>
  </si>
  <si>
    <t>00048</t>
  </si>
  <si>
    <t>00049</t>
  </si>
  <si>
    <t>00051</t>
  </si>
  <si>
    <t>00052</t>
  </si>
  <si>
    <t>00053</t>
  </si>
  <si>
    <t>00054</t>
  </si>
  <si>
    <t>00055</t>
  </si>
  <si>
    <t>00056</t>
  </si>
  <si>
    <t>00057</t>
  </si>
  <si>
    <t>00058</t>
  </si>
  <si>
    <t>00059</t>
  </si>
  <si>
    <t>00073</t>
  </si>
  <si>
    <t>00074</t>
  </si>
  <si>
    <t>00088</t>
  </si>
  <si>
    <t>QĐMGT</t>
  </si>
  <si>
    <t>00092</t>
  </si>
  <si>
    <t>00093</t>
  </si>
  <si>
    <t>00094</t>
  </si>
  <si>
    <t>00095</t>
  </si>
  <si>
    <t>00075</t>
  </si>
  <si>
    <t>00097</t>
  </si>
  <si>
    <t>00098</t>
  </si>
  <si>
    <t>00099</t>
  </si>
  <si>
    <t>00102</t>
  </si>
  <si>
    <t>00103</t>
  </si>
  <si>
    <t>00076</t>
  </si>
  <si>
    <t>00077</t>
  </si>
  <si>
    <t>00107</t>
  </si>
  <si>
    <t>00108</t>
  </si>
  <si>
    <t>TK128</t>
  </si>
  <si>
    <t>10985</t>
  </si>
  <si>
    <t>KC</t>
  </si>
  <si>
    <t>PBCP</t>
  </si>
  <si>
    <t>VL THUA</t>
  </si>
  <si>
    <t>GBC 001</t>
  </si>
  <si>
    <t>GBC 002</t>
  </si>
  <si>
    <t>GBN 015</t>
  </si>
  <si>
    <t>GBN003</t>
  </si>
  <si>
    <t>BPCC/001</t>
  </si>
  <si>
    <t>GBN 042</t>
  </si>
  <si>
    <t>000721</t>
  </si>
  <si>
    <t>GBC 020</t>
  </si>
  <si>
    <t>GBN 057</t>
  </si>
  <si>
    <t>GBN 064</t>
  </si>
  <si>
    <t>PBCC/002</t>
  </si>
  <si>
    <t>GBC 025</t>
  </si>
  <si>
    <t>BBTL001</t>
  </si>
  <si>
    <t>BBTL002</t>
  </si>
  <si>
    <t>PKT10/125</t>
  </si>
  <si>
    <t>QTTƯ/002</t>
  </si>
  <si>
    <t>BHXH10</t>
  </si>
  <si>
    <t>GBN 035</t>
  </si>
  <si>
    <t>GBN 039</t>
  </si>
  <si>
    <t>GBN 040</t>
  </si>
  <si>
    <t>GBN 041</t>
  </si>
  <si>
    <t>GBC 100</t>
  </si>
  <si>
    <t>GBC 105</t>
  </si>
  <si>
    <t>GBC 106</t>
  </si>
  <si>
    <t>GBC 107</t>
  </si>
  <si>
    <t>GBN 045</t>
  </si>
  <si>
    <t>QĐHT10</t>
  </si>
  <si>
    <t>HĐVDH</t>
  </si>
  <si>
    <t>BTTL10</t>
  </si>
  <si>
    <t>KHTS10</t>
  </si>
  <si>
    <t>PBCP10</t>
  </si>
  <si>
    <t>DPH10</t>
  </si>
  <si>
    <t>DPT10</t>
  </si>
  <si>
    <t>DPĐ10</t>
  </si>
  <si>
    <t>000485</t>
  </si>
  <si>
    <t>BTMB10</t>
  </si>
  <si>
    <t>GBN 120</t>
  </si>
  <si>
    <t>GBN007</t>
  </si>
  <si>
    <t>12/10/2015</t>
  </si>
  <si>
    <t>12123</t>
  </si>
  <si>
    <t>1283</t>
  </si>
  <si>
    <t>1288</t>
  </si>
  <si>
    <t>13681</t>
  </si>
  <si>
    <t>13682</t>
  </si>
  <si>
    <t>1531.X01</t>
  </si>
  <si>
    <t>1531.Y01</t>
  </si>
  <si>
    <t>1561.C01</t>
  </si>
  <si>
    <t>2294</t>
  </si>
  <si>
    <t>22911</t>
  </si>
  <si>
    <t>22912</t>
  </si>
  <si>
    <t>Dự phòng giảm giá chứng khoán kinh doanh ngắn hạn (*)</t>
  </si>
  <si>
    <t>Dự phòng giảm giá chứng khoán kinh doanh dài hạn (*)</t>
  </si>
  <si>
    <t>22931</t>
  </si>
  <si>
    <t>22932</t>
  </si>
  <si>
    <t>2411</t>
  </si>
  <si>
    <t>2441</t>
  </si>
  <si>
    <t>2442</t>
  </si>
  <si>
    <t>3412</t>
  </si>
  <si>
    <t>3411</t>
  </si>
  <si>
    <t>Các khoản đi vay ngắn hạn.</t>
  </si>
  <si>
    <t>Các khoản đi vay dài hạn.</t>
  </si>
  <si>
    <t>3341</t>
  </si>
  <si>
    <t>3386</t>
  </si>
  <si>
    <t>Doanh thu tài chính phải nộp thuế TN (Lãi TG ngân hàng)</t>
  </si>
  <si>
    <t>Doanh thu tài chính không phải nộp thuế TN (lãi liên doanh)</t>
  </si>
  <si>
    <t>5211</t>
  </si>
  <si>
    <t>5212</t>
  </si>
  <si>
    <t>5213</t>
  </si>
  <si>
    <t>Phải thu ngắn hạn Công ty Metro</t>
  </si>
  <si>
    <t>Phải thu ngắn hạn Xí Nghiệp LIDOVIT</t>
  </si>
  <si>
    <t xml:space="preserve">Phải thu ngắn hạn Công ty GEMARTRANS </t>
  </si>
  <si>
    <t>Phải thu dài hạn Công ty Metro</t>
  </si>
  <si>
    <t>Phải thu dài hạn Xí Nghiệp LIDOVIT</t>
  </si>
  <si>
    <t xml:space="preserve">Phải thu dài hạn Công ty GEMARTRANS </t>
  </si>
  <si>
    <t>Phải trả ngắn hạn Công ty LOGITIC</t>
  </si>
  <si>
    <t>Công ty TNHH Mỹ Lệ</t>
  </si>
  <si>
    <t>Công ty TNHH Khanh Hòa</t>
  </si>
  <si>
    <t>Công ty TNHH Linh Lan</t>
  </si>
  <si>
    <t>Công ty TNHH Thiên Phú</t>
  </si>
  <si>
    <t>Công ty TNHH Vĩnh viễn</t>
  </si>
  <si>
    <t>Công ty TNHH Sen Hồng</t>
  </si>
  <si>
    <t>Công ty CP Tân Tạo</t>
  </si>
  <si>
    <t>Công ty Kinh Doanh Thép Việt</t>
  </si>
  <si>
    <t>Công ty TNHH Tú Ngọc</t>
  </si>
  <si>
    <t>Công ty TNHH An Nam</t>
  </si>
  <si>
    <t>Phải trả ngắn hạn Công ty TNHH An Nam</t>
  </si>
  <si>
    <t>Phải trả ngắn hạn Công ty TNHH Mỹ Lệ</t>
  </si>
  <si>
    <t>Phải trả ngắn hạn Công ty TNHH Khanh Hòa</t>
  </si>
  <si>
    <t>Phải trả ngắn hạn Công ty TNHH Linh Lan</t>
  </si>
  <si>
    <t>Phải trả ngắn hạn Công ty TNHH Thiên Phú</t>
  </si>
  <si>
    <t>Phải trả ngắn hạn Công ty CP Tân Tạo</t>
  </si>
  <si>
    <t>Phải trả ngắn hạn Công ty TNHH Sen Hồng</t>
  </si>
  <si>
    <t>Công ty TNHH Quang Ngọc</t>
  </si>
  <si>
    <t>Phải trả ngắn hạn Công ty TNHH Quang Ngọc</t>
  </si>
  <si>
    <t>Phải trả ngắn hạn Công ty TNHH Tú Ngọc</t>
  </si>
  <si>
    <t>Phải trả ngắn hạn Công ty Kinh Doanh Thép Việt</t>
  </si>
  <si>
    <t>Phải trả ngắn hạn Công ty TNHH Vĩnh viễn</t>
  </si>
  <si>
    <t>Công ty TNHH Yến Phi</t>
  </si>
  <si>
    <t>Phải trả ngắn hạn Công ty TNHH Yến Phi</t>
  </si>
  <si>
    <t>Phải trả ngắn hạn Công ty TNHH Xinh Xinh</t>
  </si>
  <si>
    <t>Phải trả dài hạn Công ty LOGITIC</t>
  </si>
  <si>
    <t>Phải trả dài hạn Công ty TNHH Khanh Hòa</t>
  </si>
  <si>
    <t>Phải trả dài hạn Công ty TNHH Linh Lan</t>
  </si>
  <si>
    <t>Phải trả dài hạn Công ty TNHH Mỹ Lệ</t>
  </si>
  <si>
    <t>Phải trả dài hạn Công ty TNHH An Nam</t>
  </si>
  <si>
    <t>Phải trả dài hạn Công ty TNHH Tú Ngọc</t>
  </si>
  <si>
    <t>Nhiên liệu Dầu nhớt Deizel</t>
  </si>
  <si>
    <t>Thuốc nhuộm màu vàng B02</t>
  </si>
  <si>
    <t>Thuốc nhuộm màu xanh đen C02</t>
  </si>
  <si>
    <t>Ốc vít, bù loong.</t>
  </si>
  <si>
    <t>Vải phế liệu</t>
  </si>
  <si>
    <t>Kéo cắt vải</t>
  </si>
  <si>
    <t>Sợi thun coton thô</t>
  </si>
  <si>
    <t>Quạt công nghiệp</t>
  </si>
  <si>
    <t>Vải thun coton</t>
  </si>
  <si>
    <t>Thảm lót chân</t>
  </si>
  <si>
    <t>Vải kate - Thailand</t>
  </si>
  <si>
    <t>Hàng gửi đi bán (Vải thun coton)</t>
  </si>
  <si>
    <t>Điện thắp sáng</t>
  </si>
  <si>
    <t>Kw</t>
  </si>
  <si>
    <t>Chi phí SXKD dở dang Vải thun coton (giá kế hoạch 4600)</t>
  </si>
  <si>
    <t>Chi phí SXKD dở dang Thảm lót chân (giá kế hoạch 5500)</t>
  </si>
  <si>
    <t>Hàng đi trên đường (Sợi thun coton thô)</t>
  </si>
  <si>
    <t>151.A01</t>
  </si>
  <si>
    <t>Chi phí NVL trực tiếp cho Vải thun coton</t>
  </si>
  <si>
    <t>Chi phí NC trực tiếp cho Vải thun coton</t>
  </si>
  <si>
    <t>Chi phí NVL trực tiếp cho Thảm lót chân</t>
  </si>
  <si>
    <t>Chi phí NC trực tiếp cho Thảm lót chân</t>
  </si>
  <si>
    <t>Chi phí NVL trực tiếp cho Điện thắp sáng</t>
  </si>
  <si>
    <t>Chi phí NVL trực tiếp cho Dịch vụ sửa chữa</t>
  </si>
  <si>
    <t>Chi phí NC trực tiếp cho Dịch vụ sửa chữa</t>
  </si>
  <si>
    <t>Chi phí NC trực tiếp cho Điện thắp sáng</t>
  </si>
  <si>
    <t>2421.001</t>
  </si>
  <si>
    <t>2421.002</t>
  </si>
  <si>
    <t>Chi phí trả trước ngắn hạn - CCDC</t>
  </si>
  <si>
    <t>Chi phí trả trước ngắn hạn - VPP</t>
  </si>
  <si>
    <t xml:space="preserve">Hàng bán bị trả lại </t>
  </si>
  <si>
    <t>THÔNG TIN DOANH NGHIỆP</t>
  </si>
  <si>
    <t>Thông tin</t>
  </si>
  <si>
    <t>Tên doanh nghiệp:</t>
  </si>
  <si>
    <t>Mã số thuế:</t>
  </si>
  <si>
    <t>Điện thoại:</t>
  </si>
  <si>
    <t>Giám đốc:</t>
  </si>
  <si>
    <t>Kế toán trưởng:</t>
  </si>
  <si>
    <t>Kỳ kế toán:</t>
  </si>
  <si>
    <t>KỲ LẤY BÁO CÁO</t>
  </si>
  <si>
    <t>Từ ngày:</t>
  </si>
  <si>
    <t>Đến ngày:</t>
  </si>
  <si>
    <t xml:space="preserve">(Ban hành theo thông tư số 200/2014/TT-BTC
</t>
  </si>
  <si>
    <t>ngày 22/12/2014 của Bộ trưởng BTC)</t>
  </si>
  <si>
    <t>Chỉ tiêu</t>
  </si>
  <si>
    <t>100-110-111</t>
  </si>
  <si>
    <t>100-110-112</t>
  </si>
  <si>
    <t>100-120-121</t>
  </si>
  <si>
    <t>100-130-131</t>
  </si>
  <si>
    <t>200-210-211</t>
  </si>
  <si>
    <t>100-150-152</t>
  </si>
  <si>
    <t>100-130-133</t>
  </si>
  <si>
    <t>200-210-213</t>
  </si>
  <si>
    <t>100-130-136</t>
  </si>
  <si>
    <t>100-140-141</t>
  </si>
  <si>
    <t>200-220-221-222</t>
  </si>
  <si>
    <t>200-220-224-225</t>
  </si>
  <si>
    <t>200-220-227-228</t>
  </si>
  <si>
    <t>200-220-221-223</t>
  </si>
  <si>
    <t>200-220-224-226</t>
  </si>
  <si>
    <t>200-220-227-229</t>
  </si>
  <si>
    <t>200-240-241</t>
  </si>
  <si>
    <t>200-240-242</t>
  </si>
  <si>
    <t>200-250-251</t>
  </si>
  <si>
    <t>200-250-252</t>
  </si>
  <si>
    <t>200-250-253</t>
  </si>
  <si>
    <t>100-120-129</t>
  </si>
  <si>
    <t>200-250-254</t>
  </si>
  <si>
    <t>100-130-139</t>
  </si>
  <si>
    <t>200-210-219</t>
  </si>
  <si>
    <t>100-140-149</t>
  </si>
  <si>
    <t>200-220-230</t>
  </si>
  <si>
    <t>100-150-151</t>
  </si>
  <si>
    <t>100-150-158</t>
  </si>
  <si>
    <t>200-260-268</t>
  </si>
  <si>
    <t>300-310-312</t>
  </si>
  <si>
    <t>300-330-331</t>
  </si>
  <si>
    <t>300-310-314</t>
  </si>
  <si>
    <t>300-310-315</t>
  </si>
  <si>
    <t>300-310-316</t>
  </si>
  <si>
    <t>300-310-317</t>
  </si>
  <si>
    <t>300-330-334</t>
  </si>
  <si>
    <t>300-310-318</t>
  </si>
  <si>
    <t>300-310-319</t>
  </si>
  <si>
    <t>300-310-320</t>
  </si>
  <si>
    <t>300-310-311</t>
  </si>
  <si>
    <t>300-330-337</t>
  </si>
  <si>
    <t>300-330-336</t>
  </si>
  <si>
    <t>300-310-321</t>
  </si>
  <si>
    <t>300-330-341</t>
  </si>
  <si>
    <t>400-410-411</t>
  </si>
  <si>
    <t>400-410-416</t>
  </si>
  <si>
    <t>400-410-417</t>
  </si>
  <si>
    <t>400-410-418</t>
  </si>
  <si>
    <t>400-410-419</t>
  </si>
  <si>
    <t>400-410-420</t>
  </si>
  <si>
    <t>400-410-415</t>
  </si>
  <si>
    <t>400-410-421</t>
  </si>
  <si>
    <t>400-410-422</t>
  </si>
  <si>
    <t>400-430-431</t>
  </si>
  <si>
    <t>400-430-432</t>
  </si>
  <si>
    <t>VUNG DIEU KIEN BAO CAO LUU CHUYEN TIEN TE</t>
  </si>
  <si>
    <t>LCTT01</t>
  </si>
  <si>
    <t>LCTT07</t>
  </si>
  <si>
    <t>LCTT22</t>
  </si>
  <si>
    <t>111*</t>
  </si>
  <si>
    <t>511*</t>
  </si>
  <si>
    <t>141*</t>
  </si>
  <si>
    <t>221*</t>
  </si>
  <si>
    <t>112*</t>
  </si>
  <si>
    <t>512*</t>
  </si>
  <si>
    <t>131*</t>
  </si>
  <si>
    <t>521*</t>
  </si>
  <si>
    <t>222*</t>
  </si>
  <si>
    <t>136*</t>
  </si>
  <si>
    <t>138*</t>
  </si>
  <si>
    <t>711*</t>
  </si>
  <si>
    <t>33311*</t>
  </si>
  <si>
    <t>3332*</t>
  </si>
  <si>
    <t>11*</t>
  </si>
  <si>
    <t>LCTT23</t>
  </si>
  <si>
    <t>LCTT02</t>
  </si>
  <si>
    <t>3333*</t>
  </si>
  <si>
    <t>128*</t>
  </si>
  <si>
    <t>331*</t>
  </si>
  <si>
    <t>3331*</t>
  </si>
  <si>
    <t>3335*</t>
  </si>
  <si>
    <t>1211*</t>
  </si>
  <si>
    <t>152*</t>
  </si>
  <si>
    <t>3336*</t>
  </si>
  <si>
    <t>228*</t>
  </si>
  <si>
    <t>3337*</t>
  </si>
  <si>
    <t>153*</t>
  </si>
  <si>
    <t>3338*</t>
  </si>
  <si>
    <t>LCTT24</t>
  </si>
  <si>
    <t>338*</t>
  </si>
  <si>
    <t>156*</t>
  </si>
  <si>
    <t>121*</t>
  </si>
  <si>
    <t>242*</t>
  </si>
  <si>
    <t>6358*</t>
  </si>
  <si>
    <t>LCTT25</t>
  </si>
  <si>
    <t>244*</t>
  </si>
  <si>
    <t>627*</t>
  </si>
  <si>
    <t>LCTT21</t>
  </si>
  <si>
    <t>LCTT26</t>
  </si>
  <si>
    <t>211*</t>
  </si>
  <si>
    <t>641*</t>
  </si>
  <si>
    <t>213*</t>
  </si>
  <si>
    <t>LCTT27</t>
  </si>
  <si>
    <t>642*</t>
  </si>
  <si>
    <t>515*</t>
  </si>
  <si>
    <t>241*</t>
  </si>
  <si>
    <t>LCTT31</t>
  </si>
  <si>
    <t>1331*</t>
  </si>
  <si>
    <t>214*</t>
  </si>
  <si>
    <t>411*</t>
  </si>
  <si>
    <t>336*</t>
  </si>
  <si>
    <t>LCTT32</t>
  </si>
  <si>
    <t>LCTT03</t>
  </si>
  <si>
    <t>1332*</t>
  </si>
  <si>
    <t>LCTT33</t>
  </si>
  <si>
    <t>334*</t>
  </si>
  <si>
    <t>LCTT611</t>
  </si>
  <si>
    <t>341*</t>
  </si>
  <si>
    <t>413*</t>
  </si>
  <si>
    <t>LCTT34</t>
  </si>
  <si>
    <t>3531*</t>
  </si>
  <si>
    <t>LCTT612</t>
  </si>
  <si>
    <t>3532*</t>
  </si>
  <si>
    <t>LCTT35</t>
  </si>
  <si>
    <t>LCTT04</t>
  </si>
  <si>
    <t>212*</t>
  </si>
  <si>
    <t>6351*</t>
  </si>
  <si>
    <t>LCTT36</t>
  </si>
  <si>
    <t>811*</t>
  </si>
  <si>
    <t>LCTT05</t>
  </si>
  <si>
    <t>3334*</t>
  </si>
  <si>
    <t>LCTT06</t>
  </si>
  <si>
    <t>154*</t>
  </si>
  <si>
    <t>333*</t>
  </si>
  <si>
    <t>Chi phí trả trước ngắn hạn - SC TSCĐ</t>
  </si>
  <si>
    <t>2421.003</t>
  </si>
  <si>
    <t>BTTBH10</t>
  </si>
  <si>
    <t>BTTT10</t>
  </si>
  <si>
    <t>MST:</t>
  </si>
  <si>
    <t>Kế toán viên:</t>
  </si>
  <si>
    <t>PKT10/121</t>
  </si>
  <si>
    <t>TRƯỜNG ĐẠI HỌC VĂN LANG</t>
  </si>
  <si>
    <t>CÂU 1:</t>
  </si>
  <si>
    <t>CÂU 2:</t>
  </si>
  <si>
    <t>CHÚC CÁC BẠN LÀM BÀI TỐT</t>
  </si>
  <si>
    <t>KHOA KẾ TOÁN - KIỂM TOÁN</t>
  </si>
  <si>
    <t>Công Ty TNHH Dệt May Thiên Ân</t>
  </si>
  <si>
    <t>577 QL. 13, KP. 5, P. Hiệp Bình Phước, Q. Thủ Đức, Tp. Hồ Chí Minh</t>
  </si>
  <si>
    <t>0301429970</t>
  </si>
  <si>
    <t>(028) 3726919</t>
  </si>
  <si>
    <t>Đinh Nguyễn Thị Bảo An</t>
  </si>
  <si>
    <t>Nguyễn Thị Niệm</t>
  </si>
  <si>
    <t>Nguyễn Ngọc Lan</t>
  </si>
  <si>
    <t>Ngày cấp giấy phép: 16/07/1993</t>
  </si>
  <si>
    <t>08/10/2020</t>
  </si>
  <si>
    <t>CHỨNG TỪ KẾ TOÁN PHÁT SINH THÁNG 10/2020</t>
  </si>
  <si>
    <t>01/10/2020</t>
  </si>
  <si>
    <t>02/10/2020</t>
  </si>
  <si>
    <t>PKT10/002</t>
  </si>
  <si>
    <t>03/10/2020</t>
  </si>
  <si>
    <t>04/10/2020</t>
  </si>
  <si>
    <t>05/10/2020</t>
  </si>
  <si>
    <t>06/10/2020</t>
  </si>
  <si>
    <t>07/10/2020</t>
  </si>
  <si>
    <t>09/10/2020</t>
  </si>
  <si>
    <t>10/10/2020</t>
  </si>
  <si>
    <t>12/10/2020</t>
  </si>
  <si>
    <t>14/10/2020</t>
  </si>
  <si>
    <t>15/10/2020</t>
  </si>
  <si>
    <t>16/10/2020</t>
  </si>
  <si>
    <t>17/10/2020</t>
  </si>
  <si>
    <t>18/10/2020</t>
  </si>
  <si>
    <t>19/10/2020</t>
  </si>
  <si>
    <t>20/10/2020</t>
  </si>
  <si>
    <t>21/10/2020</t>
  </si>
  <si>
    <t>22/10/2020</t>
  </si>
  <si>
    <t>Công ty CP Hoa Sen</t>
  </si>
  <si>
    <t>23/10/2020</t>
  </si>
  <si>
    <t>24/10/2020</t>
  </si>
  <si>
    <t>Công ty TNHH Hoàng Anh</t>
  </si>
  <si>
    <t>25/10/2020</t>
  </si>
  <si>
    <t>Phải thu ngắn hạn Công ty TNHH Hồng Ký</t>
  </si>
  <si>
    <t>Phải thu dài hạn Công ty TNHH Minh Long</t>
  </si>
  <si>
    <t>26/10/2020</t>
  </si>
  <si>
    <t>27/10/2020</t>
  </si>
  <si>
    <t>28/10/2020</t>
  </si>
  <si>
    <t>29/10/2020</t>
  </si>
  <si>
    <t>30/10/2020</t>
  </si>
  <si>
    <t>Công ty ĐT Viễn Thông Vinamax</t>
  </si>
  <si>
    <t>31/10/2020</t>
  </si>
  <si>
    <t>BẢNG ĐĂNG KÝ TÀI KHOẢN VÀ SỐ DƯ ĐẦU THÁNG 10/2020</t>
  </si>
  <si>
    <t>USD</t>
  </si>
  <si>
    <t>Phải thu ngắn hạn Công ty TNHH Minh Long</t>
  </si>
  <si>
    <t>Phải thu ngắn hạn Công ty TNHH Hoàng Anh</t>
  </si>
  <si>
    <t>Phải thu ngắn hạn Công ty CP Hoa Sen</t>
  </si>
  <si>
    <t>Phải thu dài hạn Công ty TNHH Hoàng Anh</t>
  </si>
  <si>
    <t>Phải thu dài hạn Công ty TNHH Hồng Ký</t>
  </si>
  <si>
    <t>Phải thu dài hạn Công ty CP Hoa Sen</t>
  </si>
  <si>
    <t>Cổ phiếu quỹ (*)</t>
  </si>
  <si>
    <t>CÂU 3:</t>
  </si>
  <si>
    <t>SỔ CHI TIẾT TIỀN MẶT</t>
  </si>
  <si>
    <t xml:space="preserve"> CÓ</t>
  </si>
  <si>
    <t>Số kỳ này</t>
  </si>
  <si>
    <t>Số kỳ trước</t>
  </si>
  <si>
    <t>Mã số</t>
  </si>
  <si>
    <t>01/01/2020</t>
  </si>
  <si>
    <t>31/12/2020</t>
  </si>
  <si>
    <t>Rút tiền gửi ngân hàng nhập quỹ tiền mặt</t>
  </si>
  <si>
    <t>Chi phí ký kết hợp đồng liên doanh</t>
  </si>
  <si>
    <t>Thuế GTGT được khấu trừ</t>
  </si>
  <si>
    <t>Chi tạm ứng Nguyễn Minh Ngân</t>
  </si>
  <si>
    <t>Chi cước phí đường bộ</t>
  </si>
  <si>
    <t>Chi thanh toán lương cho CNV tháng 09/2019</t>
  </si>
  <si>
    <t>Chi tiền mặt VND mua 1.000 USD, TGTT: 20.000đ/USD</t>
  </si>
  <si>
    <t>Thu tiền mặt ngoại tệ tiền mặt mua 1.000 USD, TGTT: 19.000đ/USD</t>
  </si>
  <si>
    <t>Nhập khẩu nguyên vật liệu A01 1.000kg x 20.200</t>
  </si>
  <si>
    <t>Thuế nhập khẩu</t>
  </si>
  <si>
    <t>Thuế GTGT của hàng nhập khẩu</t>
  </si>
  <si>
    <t>Chi phí vận chuyển lô hàng của Công ty GEMARTRANS</t>
  </si>
  <si>
    <t>Chi tiếp khách</t>
  </si>
  <si>
    <t>Chi tạm ứng cho Nguyễn Minh Ngân</t>
  </si>
  <si>
    <t>Nhập kho PTTT, VLP B01</t>
  </si>
  <si>
    <t>Chi mua PTTT, VLP của Công ty Tân tạo</t>
  </si>
  <si>
    <t>Chi mua PTTT, VLP</t>
  </si>
  <si>
    <t>Vay ngắn hạn ngân hàng nhập quỹ tiền mặt</t>
  </si>
  <si>
    <t>Thu tạm ứng thừa Nguyễn Minh Ngân</t>
  </si>
  <si>
    <t>Chi mua CCDC nhập kho</t>
  </si>
  <si>
    <t>Thu tiền bồi thường vật chất của ông Tám</t>
  </si>
  <si>
    <t>Rút TGNH nhập quỹ tiền mặt</t>
  </si>
  <si>
    <t>Người mua tạm ứng trước tiền mặt</t>
  </si>
  <si>
    <t>Thu tiền nhượng bán TSCĐ</t>
  </si>
  <si>
    <t>Thuế GTGT phải nộp</t>
  </si>
  <si>
    <t>Thu tiền bồi thường vật chất ông Minh Hà</t>
  </si>
  <si>
    <t>Nguyễn Minh Ngân nộp tiền tạm ứng còn thừa</t>
  </si>
  <si>
    <t>Chi khen thưởng cho CB CNV</t>
  </si>
  <si>
    <t>Chi bảo dưỡng thiết bị máy móc văn phòng</t>
  </si>
  <si>
    <t>Nộp tiền mặt vào ngân hàng</t>
  </si>
  <si>
    <t>Xuất vật liệu phụ B01 cho sản xuất sản phẩm B01 phân xưởng 2</t>
  </si>
  <si>
    <t>Chi ứng lương lần 1 cho CBCNV Tháng 10</t>
  </si>
  <si>
    <t>Chi phí vận chuyển bốc vác của lô hàng Công ty Tân Tạo</t>
  </si>
  <si>
    <t>Sửa chữa thường xuyên xe du lịch</t>
  </si>
  <si>
    <t>Sửa chữa TSCĐ ở PXSX chính</t>
  </si>
  <si>
    <t>Tạm ứng cho Nguyễn Minh Ngân</t>
  </si>
  <si>
    <t>Mua tài sản cố định</t>
  </si>
  <si>
    <t>Mua tín phiếu mệnh giá 20000, Tbằng6t, LSbằng12%/năm</t>
  </si>
  <si>
    <t>Chi mua bản quyền sản phẩm</t>
  </si>
  <si>
    <t>Chi phí công đoàn</t>
  </si>
  <si>
    <t>Chi tiền mặt ứng trước cho Công ty TNHH Yến Phi</t>
  </si>
  <si>
    <t>Mua công cụ dụng cụ</t>
  </si>
  <si>
    <t>Mua vật liệu phụ</t>
  </si>
  <si>
    <t>Mua vật liệu chính</t>
  </si>
  <si>
    <t>Mua nhiên liệu</t>
  </si>
  <si>
    <t>Mua phụ tùng thay thế</t>
  </si>
  <si>
    <t>Nhập kho 1000 SP F01 (Giá kế hoạch 390.500)</t>
  </si>
  <si>
    <t>Nhập kho 1000 SP F02 (Giá kế hoạch 317.500)</t>
  </si>
  <si>
    <t>Xuất bán 192 SP F01</t>
  </si>
  <si>
    <t xml:space="preserve">Doanh thu Bán 192 SP F01 </t>
  </si>
  <si>
    <t>Xuất bán 224 SP F01</t>
  </si>
  <si>
    <t>Doanh thu Bán 224 SP F01</t>
  </si>
  <si>
    <t>Xuất bán 200 SP F02</t>
  </si>
  <si>
    <t xml:space="preserve">Doanh thu Bán 200 SP F02 </t>
  </si>
  <si>
    <t>Xuất bán 48 SP F01</t>
  </si>
  <si>
    <t xml:space="preserve">Doanh thu Bán 48 SP F01 </t>
  </si>
  <si>
    <t>Xuất bán 296 SP F01</t>
  </si>
  <si>
    <t>Doanh thu Bán 296 SP F01</t>
  </si>
  <si>
    <t>Xuất bán 150 SP F01</t>
  </si>
  <si>
    <t xml:space="preserve">Doanh thu Bán 150 SP F01 </t>
  </si>
  <si>
    <t>Xuất tham gia góp vốn liên doanh - (100SP F01) - Ngắn hạn</t>
  </si>
  <si>
    <t>Chi Góp vốn liên doanh bằng TM (ngắn hạn)</t>
  </si>
  <si>
    <t>Xuất bán 144 SP F01</t>
  </si>
  <si>
    <t xml:space="preserve">Doanh thu Bán 144 SP F01 </t>
  </si>
  <si>
    <t>Trả nợ người bán Công ty TNHH Mỹ Lệ bằng TGNH</t>
  </si>
  <si>
    <t>Người mua trả tiền bằng TGNH</t>
  </si>
  <si>
    <t>Xuất vật liệu phụ cho sản xuất F02</t>
  </si>
  <si>
    <t>Xuất vật liệu phụ cho sản xuất sản phẩm B PX2</t>
  </si>
  <si>
    <t>Xuất NVL A01 để sản xuất SP F02</t>
  </si>
  <si>
    <t>Xuất vật liệu phụ cho QLFX1</t>
  </si>
  <si>
    <t>Xuất vật liệu phụ cho QLFX2</t>
  </si>
  <si>
    <t>Xuất vật liệu phụ cho QLBH</t>
  </si>
  <si>
    <t>Xuất vật liệu phụ cho QLQN</t>
  </si>
  <si>
    <t>Nhập kho 500 SP F02 (Giá kế hoạch 317.500)</t>
  </si>
  <si>
    <t>Xuất kho 290 SP F02 bán cho Cty C</t>
  </si>
  <si>
    <t>Doanh thu bán 290 SP F02</t>
  </si>
  <si>
    <t>Thuế GTGT</t>
  </si>
  <si>
    <t>Xuất nhiên liệu cho PX1</t>
  </si>
  <si>
    <t>Xuất nhiên liệu cho PX2</t>
  </si>
  <si>
    <t>Xuất nhiên liệu cho quản lý doanh nghiệp</t>
  </si>
  <si>
    <t>Xuất CCDC cho QLDN (phân bổ 2 lần)</t>
  </si>
  <si>
    <t>Xuất CCDC cho QLDN</t>
  </si>
  <si>
    <t>Phân bổ CCDC cho QLDN</t>
  </si>
  <si>
    <t>Trả nợ cho người bán bằng TGNH</t>
  </si>
  <si>
    <t>Nguyễn Minh Ngân thanh toán tạm ứng tiền tàu xe</t>
  </si>
  <si>
    <t>Nhận giấy báo có người mua trả nợ</t>
  </si>
  <si>
    <t>Xuất bán 100 SP  F01</t>
  </si>
  <si>
    <t xml:space="preserve">Doanh thu Bán 100 SP F01 </t>
  </si>
  <si>
    <t>Trả nợ người bán Công ty TNHH Thiên Phú bằng TGNH</t>
  </si>
  <si>
    <t>Trả nợ người bán Công ty CP Tân Tạo bằng TGNH</t>
  </si>
  <si>
    <t>Xuất NVL A01 để sản xuất SP F01</t>
  </si>
  <si>
    <t>Xuất vật liệu phụ</t>
  </si>
  <si>
    <t>Xuất vật liệu phụ cho phân xưởng SX</t>
  </si>
  <si>
    <t>Xuất vật liệu phụ cho FX01</t>
  </si>
  <si>
    <t>Xuất vật liệu phụ cho FX02</t>
  </si>
  <si>
    <t>Xuất vật liệu phụ cho QLDN</t>
  </si>
  <si>
    <t>Xuất nhiên liệu cho FX01</t>
  </si>
  <si>
    <t>Xuất nhiên liệu cho FX02</t>
  </si>
  <si>
    <t>Xuất nhiên liệu cho QLDN</t>
  </si>
  <si>
    <t>Xuất PTTT sửa chữa thường xuyên TSCĐ</t>
  </si>
  <si>
    <t>Xuất CCDC cho PX2 (phân bổ 2 lần)</t>
  </si>
  <si>
    <t xml:space="preserve">Phân bổ CCDC cho FX02 </t>
  </si>
  <si>
    <t xml:space="preserve">Xuất CCDC cho QLDN (phân bổ 1 lần) </t>
  </si>
  <si>
    <t>Xuất bán 43 SP  F01</t>
  </si>
  <si>
    <t>Nhượng bán TSCĐ L</t>
  </si>
  <si>
    <t>Giá trị còn lại TSCĐ L</t>
  </si>
  <si>
    <t>Phế liệu thu hồi tại SX SP F01, bán thu tiền mặt</t>
  </si>
  <si>
    <t>Nhận được quyết định miễn giảm thuế TNDN 2 năm</t>
  </si>
  <si>
    <t>Nguyễn Minh ngân thanh toán tiền vận chuyển NVL của Người bán O</t>
  </si>
  <si>
    <t>Xuất nhiên liệ cho QLDN</t>
  </si>
  <si>
    <t>Trả tiền mua VPP-TGNH</t>
  </si>
  <si>
    <t xml:space="preserve">Phân bổ vào chi phí quản lý DN </t>
  </si>
  <si>
    <t>Trả nợ cho người bán Công ty Kinh Doanh Thép Việt</t>
  </si>
  <si>
    <t>Trả nợ cho người bán Công ty TNHH Vĩnh viễn bằng TGNH</t>
  </si>
  <si>
    <t>Nhập kho 500 SP F01 (Giá kế hoạch 390.500)</t>
  </si>
  <si>
    <t>Xuất bán 166 SP  F01</t>
  </si>
  <si>
    <t xml:space="preserve">Doanh thu Bán 166 SP F01 </t>
  </si>
  <si>
    <t>Bàn giao công trình sửa chữa lớn TSCĐ cho PXSX</t>
  </si>
  <si>
    <t>Thuế GTGT đầu vào</t>
  </si>
  <si>
    <t>Thanh toán tiền tạm ứng của Nguyễn Minh Ngân</t>
  </si>
  <si>
    <t>Thanh toán tiền tạm ứng bằng PTTT của Nguyễn Minh Ngân</t>
  </si>
  <si>
    <t>Nôp thuế GTGT bằng TGNH</t>
  </si>
  <si>
    <t>Tạm nộp thuế TNDN bằng TGNH</t>
  </si>
  <si>
    <t>Thanh toán tạm ứng tiền công tác phí</t>
  </si>
  <si>
    <t>Xuất bán 135 SP  F01</t>
  </si>
  <si>
    <t xml:space="preserve">Doanh thu Bán 135 SP F01 </t>
  </si>
  <si>
    <t>Xuất bán 130 SP  F01</t>
  </si>
  <si>
    <t xml:space="preserve">Doanh thu Bán 130 SP F01 </t>
  </si>
  <si>
    <t>Chuyển nguồn do Mua TSCĐ bằng nguồn vốn ĐTXD</t>
  </si>
  <si>
    <t>Trả CP nghiên cứu PT bằng quỹ ĐTPT</t>
  </si>
  <si>
    <t>Nhập khẩu nguyên vật liệu, nhập kho</t>
  </si>
  <si>
    <t>Thuế nhập khẩu 5%</t>
  </si>
  <si>
    <t>Trả nợ cho người bán Công ty TNHH Sen Hồng bằng TGNH</t>
  </si>
  <si>
    <t>Trả nợ cho người bán Công ty TNHH Quang Ngọc bằng TGNH</t>
  </si>
  <si>
    <t>Trả tiền điện thoại bằng TGNH</t>
  </si>
  <si>
    <t>Trả nợ vay ngắn hạn bằng TGNH</t>
  </si>
  <si>
    <t>Trả lãi tiền vay bằng TGNH</t>
  </si>
  <si>
    <t>Lãi tiền gửi ngân hàng</t>
  </si>
  <si>
    <t>Người muatrả tiền bằng TGNH</t>
  </si>
  <si>
    <t>Được chia lãi từ liên doanh</t>
  </si>
  <si>
    <t>Trả nợ người nhận thầu Công ty LOGITIC bằng TGNH</t>
  </si>
  <si>
    <t>Nhận QĐ hoàn thuế, được hoàn 140.000</t>
  </si>
  <si>
    <t>Nhận QĐ hoàn thuế, không được hoàn 10.000</t>
  </si>
  <si>
    <t>Khoản vay dài hạn trả kỳ sau</t>
  </si>
  <si>
    <t>Lập dự phòng phải thu khó đòi</t>
  </si>
  <si>
    <t>Lập dự phòng giảm giá hàng tồn kho</t>
  </si>
  <si>
    <t>Lập dự phòng giảm giá đầu tư ngắn hạn</t>
  </si>
  <si>
    <t>Giảm giá hàng bán 5%, của lô 290 SP</t>
  </si>
  <si>
    <t>Thuế GTGT của hàng bán bị giảm giá</t>
  </si>
  <si>
    <t>Thuế môn bài phải nộp</t>
  </si>
  <si>
    <t>Thuế GTGT hàng nhập khẩu tháng trước</t>
  </si>
  <si>
    <t>Nộp thuế GTGT hàng nhập khẩu tháng trước</t>
  </si>
  <si>
    <t>Phế liệu thu hồi tại PX1 của SP F01</t>
  </si>
  <si>
    <t>Phế liệu thu hồi tại PX1 của SP F02</t>
  </si>
  <si>
    <t>Thu tiền nợ Công ty Metro</t>
  </si>
  <si>
    <t>Chi thanh toán nợ người bán Công ty TNHH Tú Ngọc</t>
  </si>
  <si>
    <t>Kết chuyển thuế GTGT của hàng bán trả lại, giảm giá, chiết khấu</t>
  </si>
  <si>
    <t>Kết chuyển thuế GTGT được khấu trừ của HH, DV</t>
  </si>
  <si>
    <t>Kết chuyển thuế GTGT được khấu trừ của TSCĐ</t>
  </si>
  <si>
    <t>Phải thu dài hạn đến hạn thu (Công ty Hoa Sen)</t>
  </si>
  <si>
    <t>Phải trả dài hạn đến hạn trả Công ty TNHH Khanh Hòa</t>
  </si>
  <si>
    <t>Tiền lương phải trả cho CBCNV trong kỳ</t>
  </si>
  <si>
    <t>Trợ cấp BHXH phải trả cho CB-CNV</t>
  </si>
  <si>
    <t>Tiền thưởng phải trả cho CB-CNV</t>
  </si>
  <si>
    <t>Trích KPCĐ của CNTTSX PX1.F01</t>
  </si>
  <si>
    <t>Trích KPCĐ của CNTTSX PX1.F02</t>
  </si>
  <si>
    <t>Trích KPCĐ của CNTTSX PX2.B</t>
  </si>
  <si>
    <t>Trích KPCĐ của nhân viên bộ phận QLPX1</t>
  </si>
  <si>
    <t>Trích KPCĐ của nhân viên bộ phận QLPX2</t>
  </si>
  <si>
    <t>Trích KPCĐ của nhân viên bộ phận bán hàng</t>
  </si>
  <si>
    <t>Trích KPCĐ của nhân viên bộ phận QLDN</t>
  </si>
  <si>
    <t>Trích BHXH của CNTTSX PX1.F01</t>
  </si>
  <si>
    <t>Trích BHXH của CNTTSX PX1.F02</t>
  </si>
  <si>
    <t>Trích BHXH của CNTTSX PX2.B</t>
  </si>
  <si>
    <t>Trích BHXH của nhân viên bộ phận QLPX1</t>
  </si>
  <si>
    <t>Trích BHXH của nhân viên bộ phận QLPX2</t>
  </si>
  <si>
    <t>Trích BHXH của nhân viên bộ phận bán hàng</t>
  </si>
  <si>
    <t>Trích BHXH của nhân viên bộ phận QLDN</t>
  </si>
  <si>
    <t>Trích BHYT của CNTTSX PX1.F01</t>
  </si>
  <si>
    <t>Trích BHYT của CNTTSX PX1.F02</t>
  </si>
  <si>
    <t>Trích BHYT của CNTTSX PX2.B</t>
  </si>
  <si>
    <t>Trích BHYT của nhân viên bộ phận QLPX1</t>
  </si>
  <si>
    <t>Trích BHYT của nhân viên bộ phận QLPX2</t>
  </si>
  <si>
    <t>Trích BHYT của nhân viên bộ phận bán hàng</t>
  </si>
  <si>
    <t>Trích BHYT của nhân viên bộ phận QLDN</t>
  </si>
  <si>
    <t>Trích BHTN của CNTTSX PX1.F01</t>
  </si>
  <si>
    <t>Trích BHTN của CNTTSX PX1.F02</t>
  </si>
  <si>
    <t>Trích BHTN của CNTTSX PX2.B</t>
  </si>
  <si>
    <t>Trích BHTN của nhân viên bộ phận QLPX1</t>
  </si>
  <si>
    <t>Trích BHTN của nhân viên bộ phận QLPX2</t>
  </si>
  <si>
    <t>Trích BHTN của nhân viên bộ phận bán hàng</t>
  </si>
  <si>
    <t>Trích BHTN của nhân viên bộ phận QLDN</t>
  </si>
  <si>
    <t>Khấu trừ lương nhân viên Tháng 10/20</t>
  </si>
  <si>
    <t>Khấu trừ lương nhân viên Tháng 10/21</t>
  </si>
  <si>
    <t>Khấu trừ lương nhân viên Tháng 10/22</t>
  </si>
  <si>
    <t>Khấu trừ lương thuế TNCN</t>
  </si>
  <si>
    <t>Trích khấu hao TSCĐ</t>
  </si>
  <si>
    <t xml:space="preserve"> K/C CP sửa chữa lớn TSCĐ (6 kỳ)</t>
  </si>
  <si>
    <t>Phân bổ CP sửa chữa lớn TSCĐ</t>
  </si>
  <si>
    <t>Phân bổ CP dụng cụ đồ dùng</t>
  </si>
  <si>
    <t>Tập hợp chi phí SXC FX2 phải phân bổ</t>
  </si>
  <si>
    <t>Kết chuyển CPSX của PXSX phụ (PX2)</t>
  </si>
  <si>
    <t>Phân bổ lao vụ SX phụ 75% cho QLPX</t>
  </si>
  <si>
    <t>Phân bổ lao vụ SX phụ 25% cho QLDN</t>
  </si>
  <si>
    <t>Tập hợp chi phí SXC FX1 phải phân bổ</t>
  </si>
  <si>
    <t>Vật liệu A sản xuất SP F01 thừa nhập kho (ĐG: 18,585)</t>
  </si>
  <si>
    <t>Kết chuyển CP của PXSX chính</t>
  </si>
  <si>
    <t>Vật liệu B sản xuất SP F02 chưa sử dụng hết (để lại xưởng) - ĐG: 10,561</t>
  </si>
  <si>
    <t>Phân bổ chi phí SXC  PX1 cho SP F01 (40%)</t>
  </si>
  <si>
    <t>Phân bổ chi phí SXC  PX1 cho SP F02 (60%)</t>
  </si>
  <si>
    <t>Kết chuyển các khoản giảm trừ doanh thu</t>
  </si>
  <si>
    <t>Kết chuyển doanh thu thuần</t>
  </si>
  <si>
    <t>Kết chuyển giá vốn hàng bán</t>
  </si>
  <si>
    <t>Kết chuyển chi phí bán hàng</t>
  </si>
  <si>
    <t>Kết chuyển chi phí QLDN</t>
  </si>
  <si>
    <t>Kết chuyển thu nhập hoạt động tài chính</t>
  </si>
  <si>
    <t>Kết chuyển các khoản thu nhập khác</t>
  </si>
  <si>
    <t>Kết chuyển CP hoạt động tài chính</t>
  </si>
  <si>
    <t>Kết chuyển CP hoạt động khác</t>
  </si>
  <si>
    <t>Chi phí thuế TNDN hiện hành</t>
  </si>
  <si>
    <t>Kết chuyển Chi phí thuế TNDN hiện hành</t>
  </si>
  <si>
    <t>Kết chuyển lãi (lỗ)</t>
  </si>
  <si>
    <t>Mã đề: EXHK20216</t>
  </si>
  <si>
    <t>Lập sổ chi tiết tiền mặt</t>
  </si>
  <si>
    <t>Lập sổ chi phí sản xuất kinh doanh 622</t>
  </si>
  <si>
    <t>3đ</t>
  </si>
  <si>
    <t>4đ</t>
  </si>
  <si>
    <t>- SV ĐƯỢC sử dụng tài liệu</t>
  </si>
  <si>
    <t>- SV làm bài và nộp bài trên hệ thống thi trực tuyến của trường</t>
  </si>
  <si>
    <t>Từ file dữ liệu kế toán cho sẵn (gồm 2 sheet CHUNGTU và SDDK ). Anh (chị) hãy lập công thức để lấy dữ liệu vào các mẫu sổ sách kế toán theo hình thức kế toán "Nhật ký chung" hoặc báo cáo như sau:</t>
  </si>
  <si>
    <r>
      <rPr>
        <b/>
        <u val="single"/>
        <sz val="14"/>
        <color indexed="10"/>
        <rFont val="Times New Roman"/>
        <family val="1"/>
      </rPr>
      <t>Lưu ý quan trọng</t>
    </r>
    <r>
      <rPr>
        <b/>
        <sz val="14"/>
        <color indexed="10"/>
        <rFont val="Times New Roman"/>
        <family val="1"/>
      </rPr>
      <t xml:space="preserve">: 
</t>
    </r>
  </si>
  <si>
    <t>Trước khi làm bài, SV đổi tên file theo cấu trúc như sau: HO TEN_MSSV_LOP (Không gõ dấu)</t>
  </si>
  <si>
    <t>Lập bảng báo cáo lưu chuyển tiền tệ (theo PP trực tiếp) cho cột Kỳ này</t>
  </si>
  <si>
    <t>HÌNH THỨC THI: ONLINE</t>
  </si>
  <si>
    <r>
      <rPr>
        <b/>
        <i/>
        <u val="single"/>
        <sz val="12"/>
        <color indexed="10"/>
        <rFont val="Times New Roman"/>
        <family val="1"/>
      </rPr>
      <t>Lưu ý dành cho CB chấm thi:</t>
    </r>
    <r>
      <rPr>
        <b/>
        <i/>
        <sz val="12"/>
        <color indexed="10"/>
        <rFont val="Times New Roman"/>
        <family val="1"/>
      </rPr>
      <t xml:space="preserve"> SV có thể sử dụng các cách làm khác nhau miễn kết quả là đúng</t>
    </r>
  </si>
  <si>
    <t>như đáp án, dưới đây chỉ là một trong các cách làm dùng làm đáp án tham khảo.</t>
  </si>
  <si>
    <t>Mục</t>
  </si>
  <si>
    <t>Thang điểm</t>
  </si>
  <si>
    <t>Số tiền</t>
  </si>
  <si>
    <t>Sao chép dữ liệu xuống tới dòng 340 và lọc lại dữ liệu</t>
  </si>
  <si>
    <t>TỔNG</t>
  </si>
  <si>
    <t>Số hiệu: [1]</t>
  </si>
  <si>
    <t>SUM(F14:F340)</t>
  </si>
  <si>
    <t>MÃ ĐỀ: EXHK20216</t>
  </si>
  <si>
    <t>Tổng cộng: [2] - [8]</t>
  </si>
  <si>
    <t>Ngày ghi sổ, Ngày chứng từ, Diễn giải: [9], [11], [12]</t>
  </si>
  <si>
    <t>Ngày ghi sổ: IF($F14+$M14&lt;&gt;0,'CHUNG TU'!A5,"")
Ngày chứng từ: thay A5 bằng cột F5; Diễn giải: thay A5 bằng cột H5</t>
  </si>
  <si>
    <t>Số Chứng từ: [10]</t>
  </si>
  <si>
    <t>IF($F14+$M14&lt;&gt;0,IF('CHUNG TU'!B5&lt;&gt;"",'CHUNG TU'!B5,IF('CHUNG TU'!C5&lt;&gt;"",'CHUNG TU'!C5,'CHUNG TU'!D5)),"")</t>
  </si>
  <si>
    <t>GHI CÓ CÁC TÀI KHỎAN : [14] - [17]</t>
  </si>
  <si>
    <t>TÀI KHỎAN KHÁC (Số tiền): [18]</t>
  </si>
  <si>
    <t>F14-SUM(G14:J14)</t>
  </si>
  <si>
    <t>TÀI KHỎAN KHÁC (Số hiệu): [19]</t>
  </si>
  <si>
    <t>IF(K14&lt;&gt;0,'CHUNG TU'!J5,"")</t>
  </si>
  <si>
    <t>IF(M14&lt;&gt;0,'CHUNG TU'!I5,"")</t>
  </si>
  <si>
    <t>CÂU 2: Lập sổ chi phí sản xuất kinh doanh 622 (4đ)</t>
  </si>
  <si>
    <t>CÂU 3:Lập bảng báo cáo lưu chuyển tiền tệ kỳ này (PP trực tiếp) (3đ)</t>
  </si>
  <si>
    <t>Mã số 01 - 40 (Trừ mã 20, 30, 40, 50)</t>
  </si>
  <si>
    <t>Mã 20, 30, 40, 50</t>
  </si>
  <si>
    <t>SUBTOTAL(9,D12:D18)</t>
  </si>
  <si>
    <t>Mã 60</t>
  </si>
  <si>
    <t>SUM(SDDK!H6:H12)</t>
  </si>
  <si>
    <t>Mã 61</t>
  </si>
  <si>
    <t>DSUM('CHUNG TU'!$I$4:$L$331,4,'Vung DK'!E33:G34)-DSUM('CHUNG TU'!$I$4:$L$331,4,'Vung DK'!E35:G36)</t>
  </si>
  <si>
    <t>Mã 70</t>
  </si>
  <si>
    <t>SUM(D37:D39)</t>
  </si>
  <si>
    <t>CÂU 1: Lập sổ chi tiết tiền mặt (3đ)</t>
  </si>
  <si>
    <t>Số hiệu</t>
  </si>
  <si>
    <t>TỒN</t>
  </si>
  <si>
    <t>Số dư đầu kỳ: [1]</t>
  </si>
  <si>
    <t>Tổng số PS: [2], [3]</t>
  </si>
  <si>
    <t>Số dư cuối kỳ: [4]</t>
  </si>
  <si>
    <t>Ngày ghi sổ, Ngày chứng từ, Diễn giải: [5], [7], [8]</t>
  </si>
  <si>
    <t>Số Chứng từ: [6]</t>
  </si>
  <si>
    <t>Tài khoản đối ứng: [9]</t>
  </si>
  <si>
    <t>GHI NỢ TK 622: [13]</t>
  </si>
  <si>
    <t>Sử dụng số hiệu: 622</t>
  </si>
  <si>
    <t>GHI CÓ TK 622 (Số tiền): [20]</t>
  </si>
  <si>
    <t>GHI CÓ TK 622 (TK đối ứng): [21]</t>
  </si>
  <si>
    <t>622</t>
  </si>
  <si>
    <t>VLOOKUP($F$7,BDMTK,6,0)</t>
  </si>
  <si>
    <t>Sử dụng số hiệu: 1111, 1112</t>
  </si>
  <si>
    <t>Nợ: SUMIF('CHUNG TU'!$I$5:$I$331,'Sổ chi tiết TM'!$F$7,'CHUNG TU'!$L$5:$L$331)
Có: SUMIF('CHUNG TU'!$J$5:$J$331,'Sổ chi tiết TM'!$F$7,'CHUNG TU'!$L$5:$L$331)</t>
  </si>
  <si>
    <t>I10+G11-H11</t>
  </si>
  <si>
    <t>Ngày ghi sổ: IF($F14&lt;&gt;"",'CHUNG TU'!A5,"")
Ngày chứng từ: thay A5 bằng cột F5; Diễn giải: thay A5 bằng cột H5</t>
  </si>
  <si>
    <t>IF($F14&lt;&gt;"",'CHUNG TU'!B5,"")</t>
  </si>
  <si>
    <t>IF($F$7='CHUNG TU'!I5,'CHUNG TU'!J5,IF($F$7='CHUNG TU'!J5,'CHUNG TU'!I5,""))</t>
  </si>
  <si>
    <t>Nợ: IF($F$7='CHUNG TU'!I5,'CHUNG TU'!$L5,0)
Có: IF($F$7='CHUNG TU'!J5,'CHUNG TU'!$L5,0)
Tồn: IF(G14+H14&lt;&gt;0,$I$10+SUM($G$14:G14)-SUM($H$14:H14),0)</t>
  </si>
  <si>
    <t>IF(LEFT('CHUNG TU'!I5,3)='CPSXKD 622'!$H$7,'CHUNG TU'!$L5,0)</t>
  </si>
  <si>
    <t>IF(AND($F14&lt;&gt;0,LEFT('CHUNG TU'!$J5,LEN('CPSXKD 622'!G$10))='CPSXKD 622'!G$10),'CPSXKD 622'!$F14,0)</t>
  </si>
  <si>
    <t>IF(LEFT('CHUNG TU'!J5,3)='CPSXKD 622'!$H$7,'CHUNG TU'!$L5,0)</t>
  </si>
  <si>
    <t>Mã 01: DSUM('CHUNG TU'!$I$4:$L$331,4,'Vung DK'!A3:C10)
Mã còn lại: thay vùng điều kiện tương ứng, nếu là dòng tiền chi ra thì hàm DSUM sẽ nhân thêm với -1.</t>
  </si>
  <si>
    <t>THI KẾT THÚC HỌC PHẦN - NH 2021 - 2022</t>
  </si>
  <si>
    <t>MÔN: MS-EXCEL TRONG KẾ TOÁN</t>
  </si>
  <si>
    <t xml:space="preserve">THANG ĐIỂM ĐỀ THI CUỐI KỲ MÔN MS-EXCEL TRONG KẾ TOÁN </t>
  </si>
  <si>
    <t>LỚP: K24KTĐB - [Thời gian: 60 phút]</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</si>
</sst>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nd&quot;#,##0_);[Red]\(&quot;Vnd&quot;#,##0\)"/>
    <numFmt numFmtId="173" formatCode="#,##0_);[Red]\(#,##0\);"/>
    <numFmt numFmtId="174" formatCode="#,##0;[Red]\(#,##0\);"/>
    <numFmt numFmtId="175" formatCode="_(* #,##0_);_(* \(#,##0\);_(* &quot;-&quot;??_);_(@_)"/>
    <numFmt numFmtId="176" formatCode="#,##0;#,##0;"/>
    <numFmt numFmtId="177" formatCode="#,##0."/>
    <numFmt numFmtId="178" formatCode="\$#."/>
    <numFmt numFmtId="179" formatCode="_-* #,##0\ _D_M_-;\-* #,##0\ _D_M_-;_-* &quot;-&quot;\ _D_M_-;_-@_-"/>
    <numFmt numFmtId="180" formatCode="_-* #,##0.00\ _D_M_-;\-* #,##0.00\ _D_M_-;_-* &quot;-&quot;??\ _D_M_-;_-@_-"/>
    <numFmt numFmtId="181" formatCode="#.00"/>
    <numFmt numFmtId="182" formatCode="#."/>
    <numFmt numFmtId="183" formatCode="_-* #,##0\ &quot;DM&quot;_-;\-* #,##0\ &quot;DM&quot;_-;_-* &quot;-&quot;\ &quot;DM&quot;_-;_-@_-"/>
    <numFmt numFmtId="184" formatCode="_-* #,##0.00\ &quot;DM&quot;_-;\-* #,##0.00\ &quot;DM&quot;_-;_-* &quot;-&quot;??\ &quot;DM&quot;_-;_-@_-"/>
    <numFmt numFmtId="185" formatCode="&quot;\&quot;#,##0.00;[Red]&quot;\&quot;\-#,##0.00"/>
    <numFmt numFmtId="186" formatCode="&quot;\&quot;#,##0;[Red]&quot;\&quot;\-#,##0"/>
    <numFmt numFmtId="187" formatCode="_ * #,##0.00_ ;_ * \-#,##0.00_ ;_ * &quot;-&quot;??_ ;_ @_ "/>
    <numFmt numFmtId="188" formatCode="_ * #,##0_ ;_ * \-#,##0_ ;_ * &quot;-&quot;_ ;_ @_ "/>
    <numFmt numFmtId="189" formatCode="#,##0_);[Red]\(#,##0\)\,"/>
    <numFmt numFmtId="190" formatCode="_-&quot;$&quot;* #,##0_-;\-&quot;$&quot;* #,##0_-;_-&quot;$&quot;* &quot;-&quot;_-;_-@_-"/>
    <numFmt numFmtId="191" formatCode="_-&quot;$&quot;* #,##0.00_-;\-&quot;$&quot;* #,##0.00_-;_-&quot;$&quot;* &quot;-&quot;??_-;_-@_-"/>
    <numFmt numFmtId="192" formatCode="0.0%"/>
    <numFmt numFmtId="193" formatCode="###0.00;\(###0.00\)"/>
    <numFmt numFmtId="194" formatCode="####;\(####\)"/>
    <numFmt numFmtId="195" formatCode="&quot;Năm &quot;yyyy"/>
    <numFmt numFmtId="196" formatCode="0;\-0;;@"/>
    <numFmt numFmtId="197" formatCode="&quot;Hà Nội, ngày &quot;dd&quot; tháng &quot;mm&quot; năm &quot;yyyy"/>
    <numFmt numFmtId="198" formatCode="&quot;Từ ngày &quot;dd&quot; / &quot;mm&quot; / &quot;yyyy"/>
    <numFmt numFmtId="199" formatCode="&quot;Đến ngày &quot;dd&quot;/&quot;mm&quot;/&quot;yyyy&quot;&quot;"/>
    <numFmt numFmtId="200" formatCode="000"/>
    <numFmt numFmtId="201" formatCode="_(* #,##0.0000000000_);_(* \(#,##0.0000000000\);_(* &quot;-&quot;??_);_(@_)"/>
    <numFmt numFmtId="202" formatCode="_(* #,##0.00000000_);_(* \(#,##0.00000000\);_(* &quot;-&quot;??_);_(@_)"/>
    <numFmt numFmtId="203" formatCode="_(* #,##0.00000000000_);_(* \(#,##0.00000000000\);_(* &quot;-&quot;??_);_(@_)"/>
    <numFmt numFmtId="204" formatCode="_(* #,##0.0000000000000_);_(* \(#,##0.0000000000000\);_(* &quot;-&quot;??_);_(@_)"/>
    <numFmt numFmtId="205" formatCode="_(* #,##0.000000000000_);_(* \(#,##0.000000000000\);_(* &quot;-&quot;??_);_(@_)"/>
    <numFmt numFmtId="206" formatCode="&quot;Ngày &quot;dd&quot; tháng &quot;mm&quot; năm &quot;yyyy"/>
    <numFmt numFmtId="207" formatCode="_(* #,##0.0_);_(* \(#,##0.0\);_(* &quot;-&quot;??_);_(@_)"/>
    <numFmt numFmtId="208" formatCode="[$-409]dddd\,\ mmmm\ dd\,\ yyyy"/>
    <numFmt numFmtId="209" formatCode="_-* #,##0.00\ _₫_-;\-* #,##0.00\ _₫_-;_-* &quot;-&quot;??\ _₫_-;_-@_-"/>
    <numFmt numFmtId="210" formatCode="_-* #,##0\ _₫_-;\-* #,##0\ _₫_-;_-* &quot;-&quot;??\ _₫_-;_-@_-"/>
    <numFmt numFmtId="211" formatCode="#,##0.0"/>
    <numFmt numFmtId="212" formatCode="00"/>
    <numFmt numFmtId="213" formatCode="&quot;Yes&quot;;&quot;Yes&quot;;&quot;No&quot;"/>
    <numFmt numFmtId="214" formatCode="&quot;True&quot;;&quot;True&quot;;&quot;False&quot;"/>
    <numFmt numFmtId="215" formatCode="&quot;On&quot;;&quot;On&quot;;&quot;Off&quot;"/>
    <numFmt numFmtId="216" formatCode="[$€-2]\ #,##0.00_);[Red]\([$€-2]\ #,##0.00\)"/>
    <numFmt numFmtId="217" formatCode="dd/mm/yyyy"/>
    <numFmt numFmtId="218" formatCode="[$-409]dddd\,\ mmmm\ d\,\ yyyy"/>
    <numFmt numFmtId="219" formatCode="[$-409]h:mm:ss\ AM/PM"/>
    <numFmt numFmtId="220" formatCode="[$-F800]dddd\,\ mmmm\ dd\,\ yyyy"/>
    <numFmt numFmtId="221" formatCode="0#"/>
  </numFmts>
  <fonts count="127">
    <font>
      <sz val="10"/>
      <name val="Arial"/>
      <family val="0"/>
    </font>
    <font>
      <sz val="1"/>
      <color indexed="8"/>
      <name val="Courier"/>
      <family val="3"/>
    </font>
    <font>
      <u val="single"/>
      <sz val="10"/>
      <color indexed="36"/>
      <name val="Arial"/>
      <family val="2"/>
    </font>
    <font>
      <b/>
      <sz val="12"/>
      <name val="Arial"/>
      <family val="2"/>
    </font>
    <font>
      <b/>
      <sz val="1"/>
      <color indexed="8"/>
      <name val="Courier"/>
      <family val="3"/>
    </font>
    <font>
      <u val="single"/>
      <sz val="10"/>
      <color indexed="12"/>
      <name val="Arial"/>
      <family val="2"/>
    </font>
    <font>
      <sz val="10"/>
      <name val="VNtimes new roman"/>
      <family val="1"/>
    </font>
    <font>
      <sz val="10"/>
      <name val="Times New Roman"/>
      <family val="1"/>
    </font>
    <font>
      <sz val="16"/>
      <name val="AngsanaUPC"/>
      <family val="3"/>
    </font>
    <font>
      <sz val="14"/>
      <name val="뼻뮝"/>
      <family val="1"/>
    </font>
    <font>
      <sz val="12"/>
      <name val="바탕체"/>
      <family val="3"/>
    </font>
    <font>
      <sz val="12"/>
      <name val="뼻뮝"/>
      <family val="1"/>
    </font>
    <font>
      <sz val="12"/>
      <name val="新細明體"/>
      <family val="0"/>
    </font>
    <font>
      <sz val="10"/>
      <name val="굴림체"/>
      <family val="1"/>
    </font>
    <font>
      <sz val="10"/>
      <name val=".VnArial"/>
      <family val="1"/>
    </font>
    <font>
      <b/>
      <sz val="16"/>
      <color indexed="12"/>
      <name val="Arial"/>
      <family val="2"/>
    </font>
    <font>
      <b/>
      <sz val="10"/>
      <color indexed="12"/>
      <name val="Arial"/>
      <family val="2"/>
    </font>
    <font>
      <sz val="10"/>
      <color indexed="12"/>
      <name val="Arial"/>
      <family val="2"/>
    </font>
    <font>
      <b/>
      <sz val="10"/>
      <name val="Arial"/>
      <family val="2"/>
    </font>
    <font>
      <sz val="10"/>
      <color indexed="8"/>
      <name val="Arial"/>
      <family val="2"/>
    </font>
    <font>
      <sz val="11"/>
      <name val="Arial"/>
      <family val="2"/>
    </font>
    <font>
      <b/>
      <sz val="12"/>
      <color indexed="12"/>
      <name val="Arial"/>
      <family val="2"/>
    </font>
    <font>
      <sz val="11"/>
      <color indexed="12"/>
      <name val="Arial"/>
      <family val="2"/>
    </font>
    <font>
      <b/>
      <u val="single"/>
      <sz val="9"/>
      <color indexed="12"/>
      <name val="Arial"/>
      <family val="2"/>
    </font>
    <font>
      <b/>
      <u val="single"/>
      <sz val="10"/>
      <color indexed="12"/>
      <name val="Arial"/>
      <family val="2"/>
    </font>
    <font>
      <b/>
      <sz val="10"/>
      <color indexed="8"/>
      <name val="Arial"/>
      <family val="2"/>
    </font>
    <font>
      <b/>
      <sz val="10"/>
      <color indexed="12"/>
      <name val="Times New Roman"/>
      <family val="1"/>
    </font>
    <font>
      <b/>
      <sz val="10"/>
      <color indexed="60"/>
      <name val="Times New Roman"/>
      <family val="1"/>
    </font>
    <font>
      <sz val="10"/>
      <color indexed="12"/>
      <name val="Times New Roman"/>
      <family val="1"/>
    </font>
    <font>
      <sz val="12"/>
      <name val="Times New Roman"/>
      <family val="1"/>
    </font>
    <font>
      <b/>
      <sz val="12"/>
      <name val="Times New Roman"/>
      <family val="1"/>
    </font>
    <font>
      <sz val="12"/>
      <name val="VNI-Times"/>
      <family val="0"/>
    </font>
    <font>
      <b/>
      <sz val="10"/>
      <color indexed="18"/>
      <name val="Arial"/>
      <family val="2"/>
    </font>
    <font>
      <sz val="10"/>
      <color indexed="18"/>
      <name val="Arial"/>
      <family val="2"/>
    </font>
    <font>
      <sz val="9"/>
      <name val="Times New Roman"/>
      <family val="1"/>
    </font>
    <font>
      <b/>
      <sz val="10"/>
      <name val="Times New Roman"/>
      <family val="1"/>
    </font>
    <font>
      <sz val="10"/>
      <color indexed="53"/>
      <name val="Arial"/>
      <family val="2"/>
    </font>
    <font>
      <b/>
      <sz val="12"/>
      <color indexed="53"/>
      <name val="Arial"/>
      <family val="2"/>
    </font>
    <font>
      <b/>
      <sz val="14"/>
      <name val="Times New Roman"/>
      <family val="1"/>
    </font>
    <font>
      <sz val="14"/>
      <name val="Times New Roman"/>
      <family val="1"/>
    </font>
    <font>
      <b/>
      <u val="single"/>
      <sz val="14"/>
      <name val="Times New Roman"/>
      <family val="1"/>
    </font>
    <font>
      <b/>
      <sz val="9"/>
      <name val="Tahoma"/>
      <family val="2"/>
    </font>
    <font>
      <sz val="9"/>
      <name val="Tahoma"/>
      <family val="2"/>
    </font>
    <font>
      <b/>
      <sz val="14"/>
      <color indexed="10"/>
      <name val="Times New Roman"/>
      <family val="1"/>
    </font>
    <font>
      <b/>
      <u val="single"/>
      <sz val="14"/>
      <color indexed="10"/>
      <name val="Times New Roman"/>
      <family val="1"/>
    </font>
    <font>
      <b/>
      <i/>
      <u val="single"/>
      <sz val="12"/>
      <color indexed="10"/>
      <name val="Times New Roman"/>
      <family val="1"/>
    </font>
    <font>
      <b/>
      <i/>
      <sz val="12"/>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sz val="12"/>
      <color indexed="56"/>
      <name val="Times New Roman"/>
      <family val="1"/>
    </font>
    <font>
      <b/>
      <sz val="14"/>
      <color indexed="17"/>
      <name val="Times New Roman"/>
      <family val="1"/>
    </font>
    <font>
      <sz val="10"/>
      <color indexed="8"/>
      <name val="Times New Roman"/>
      <family val="1"/>
    </font>
    <font>
      <b/>
      <sz val="10"/>
      <color indexed="10"/>
      <name val="Times New Roman"/>
      <family val="1"/>
    </font>
    <font>
      <b/>
      <sz val="10"/>
      <color indexed="17"/>
      <name val="Arial"/>
      <family val="2"/>
    </font>
    <font>
      <sz val="10"/>
      <color indexed="17"/>
      <name val="Arial"/>
      <family val="2"/>
    </font>
    <font>
      <sz val="10"/>
      <color indexed="30"/>
      <name val="Arial"/>
      <family val="2"/>
    </font>
    <font>
      <sz val="10"/>
      <color indexed="10"/>
      <name val="Arial"/>
      <family val="2"/>
    </font>
    <font>
      <b/>
      <sz val="10"/>
      <color indexed="10"/>
      <name val="Arial"/>
      <family val="2"/>
    </font>
    <font>
      <sz val="14"/>
      <color indexed="9"/>
      <name val="Times New Roman"/>
      <family val="1"/>
    </font>
    <font>
      <b/>
      <sz val="13"/>
      <color indexed="10"/>
      <name val="Times New Roman"/>
      <family val="1"/>
    </font>
    <font>
      <sz val="14"/>
      <color indexed="10"/>
      <name val="Times New Roman"/>
      <family val="1"/>
    </font>
    <font>
      <sz val="12"/>
      <color indexed="8"/>
      <name val="Times New Roman"/>
      <family val="1"/>
    </font>
    <font>
      <b/>
      <sz val="12"/>
      <color indexed="8"/>
      <name val="Times New Roman"/>
      <family val="1"/>
    </font>
    <font>
      <b/>
      <sz val="12"/>
      <color indexed="10"/>
      <name val="Times New Roman"/>
      <family val="1"/>
    </font>
    <font>
      <sz val="12"/>
      <color indexed="10"/>
      <name val="Times New Roman"/>
      <family val="1"/>
    </font>
    <font>
      <b/>
      <sz val="14"/>
      <color indexed="36"/>
      <name val="Times New Roman"/>
      <family val="1"/>
    </font>
    <font>
      <b/>
      <sz val="14"/>
      <color indexed="59"/>
      <name val="Times New Roman"/>
      <family val="1"/>
    </font>
    <font>
      <b/>
      <sz val="20"/>
      <color indexed="10"/>
      <name val="Times New Roman"/>
      <family val="1"/>
    </font>
    <font>
      <b/>
      <sz val="16"/>
      <color indexed="10"/>
      <name val="Arial"/>
      <family val="2"/>
    </font>
    <font>
      <sz val="8"/>
      <name val="Segoe UI"/>
      <family val="2"/>
    </font>
    <font>
      <b/>
      <u val="single"/>
      <sz val="11"/>
      <color indexed="8"/>
      <name val="Times New Roman"/>
      <family val="0"/>
    </font>
    <font>
      <sz val="11"/>
      <color indexed="8"/>
      <name val="Times New Roman"/>
      <family val="0"/>
    </font>
    <font>
      <sz val="3"/>
      <color indexed="8"/>
      <name val="Times New Roman"/>
      <family val="0"/>
    </font>
    <font>
      <b/>
      <sz val="11"/>
      <color indexed="8"/>
      <name val="Times New Roma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sz val="11"/>
      <color rgb="FFFF0000"/>
      <name val="Arial"/>
      <family val="2"/>
    </font>
    <font>
      <sz val="12"/>
      <color rgb="FF003964"/>
      <name val="Times New Roman"/>
      <family val="1"/>
    </font>
    <font>
      <b/>
      <sz val="14"/>
      <color rgb="FF00B050"/>
      <name val="Times New Roman"/>
      <family val="1"/>
    </font>
    <font>
      <sz val="10"/>
      <color theme="1"/>
      <name val="Times New Roman"/>
      <family val="1"/>
    </font>
    <font>
      <b/>
      <sz val="10"/>
      <color rgb="FFFF0000"/>
      <name val="Times New Roman"/>
      <family val="1"/>
    </font>
    <font>
      <b/>
      <sz val="10"/>
      <color rgb="FF00B050"/>
      <name val="Arial"/>
      <family val="2"/>
    </font>
    <font>
      <sz val="10"/>
      <color rgb="FF00B050"/>
      <name val="Arial"/>
      <family val="2"/>
    </font>
    <font>
      <sz val="10"/>
      <color rgb="FF0070C0"/>
      <name val="Arial"/>
      <family val="2"/>
    </font>
    <font>
      <sz val="10"/>
      <color rgb="FFFF0000"/>
      <name val="Arial"/>
      <family val="2"/>
    </font>
    <font>
      <sz val="10"/>
      <color theme="1"/>
      <name val="Arial"/>
      <family val="2"/>
    </font>
    <font>
      <b/>
      <sz val="10"/>
      <color theme="1"/>
      <name val="Arial"/>
      <family val="2"/>
    </font>
    <font>
      <b/>
      <sz val="10"/>
      <color rgb="FFFF0000"/>
      <name val="Arial"/>
      <family val="2"/>
    </font>
    <font>
      <sz val="14"/>
      <color theme="0"/>
      <name val="Times New Roman"/>
      <family val="1"/>
    </font>
    <font>
      <b/>
      <sz val="13"/>
      <color rgb="FFFF0000"/>
      <name val="Times New Roman"/>
      <family val="1"/>
    </font>
    <font>
      <b/>
      <sz val="14"/>
      <color rgb="FFFF0000"/>
      <name val="Times New Roman"/>
      <family val="1"/>
    </font>
    <font>
      <sz val="14"/>
      <color rgb="FFFF0000"/>
      <name val="Times New Roman"/>
      <family val="1"/>
    </font>
    <font>
      <sz val="12"/>
      <color theme="1"/>
      <name val="Times New Roman"/>
      <family val="1"/>
    </font>
    <font>
      <b/>
      <sz val="12"/>
      <color theme="1"/>
      <name val="Times New Roman"/>
      <family val="1"/>
    </font>
    <font>
      <b/>
      <i/>
      <sz val="12"/>
      <color rgb="FFFF0000"/>
      <name val="Times New Roman"/>
      <family val="1"/>
    </font>
    <font>
      <b/>
      <sz val="12"/>
      <color rgb="FFFF0000"/>
      <name val="Times New Roman"/>
      <family val="1"/>
    </font>
    <font>
      <sz val="12"/>
      <color rgb="FFFF0000"/>
      <name val="Times New Roman"/>
      <family val="1"/>
    </font>
    <font>
      <b/>
      <sz val="14"/>
      <color rgb="FF7030A0"/>
      <name val="Times New Roman"/>
      <family val="1"/>
    </font>
    <font>
      <b/>
      <sz val="14"/>
      <color theme="2" tint="-0.8999800086021423"/>
      <name val="Times New Roman"/>
      <family val="1"/>
    </font>
    <font>
      <b/>
      <sz val="20"/>
      <color rgb="FFFF0000"/>
      <name val="Times New Roman"/>
      <family val="1"/>
    </font>
    <font>
      <b/>
      <sz val="16"/>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theme="0" tint="-0.1499900072813034"/>
        <bgColor indexed="64"/>
      </patternFill>
    </fill>
    <fill>
      <patternFill patternType="solid">
        <fgColor rgb="FFC0C0C0"/>
        <bgColor indexed="64"/>
      </patternFill>
    </fill>
    <fill>
      <patternFill patternType="solid">
        <fgColor rgb="FFFFC000"/>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right/>
      <top/>
      <bottom style="mediu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43" fontId="92" fillId="0" borderId="0" applyFont="0" applyFill="0" applyBorder="0" applyAlignment="0" applyProtection="0"/>
    <xf numFmtId="177" fontId="1"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1" fillId="0" borderId="0">
      <alignment/>
      <protection locked="0"/>
    </xf>
    <xf numFmtId="0" fontId="1" fillId="0" borderId="0">
      <alignment/>
      <protection locked="0"/>
    </xf>
    <xf numFmtId="179" fontId="0" fillId="0" borderId="0" applyFont="0" applyFill="0" applyBorder="0" applyAlignment="0" applyProtection="0"/>
    <xf numFmtId="180" fontId="0" fillId="0" borderId="0" applyFont="0" applyFill="0" applyBorder="0" applyAlignment="0" applyProtection="0"/>
    <xf numFmtId="0" fontId="93" fillId="0" borderId="0" applyNumberFormat="0" applyFill="0" applyBorder="0" applyAlignment="0" applyProtection="0"/>
    <xf numFmtId="181" fontId="1" fillId="0" borderId="0">
      <alignment/>
      <protection locked="0"/>
    </xf>
    <xf numFmtId="0" fontId="2" fillId="0" borderId="0" applyNumberFormat="0" applyFill="0" applyBorder="0" applyAlignment="0" applyProtection="0"/>
    <xf numFmtId="0" fontId="94" fillId="29" borderId="0" applyNumberFormat="0" applyBorder="0" applyAlignment="0" applyProtection="0"/>
    <xf numFmtId="0" fontId="3" fillId="0" borderId="3" applyNumberFormat="0" applyAlignment="0" applyProtection="0"/>
    <xf numFmtId="0" fontId="3" fillId="0" borderId="4">
      <alignment horizontal="left" vertical="center"/>
      <protection/>
    </xf>
    <xf numFmtId="0" fontId="1" fillId="0" borderId="0">
      <alignment/>
      <protection locked="0"/>
    </xf>
    <xf numFmtId="0" fontId="1" fillId="0" borderId="0">
      <alignment/>
      <protection locked="0"/>
    </xf>
    <xf numFmtId="0" fontId="95" fillId="0" borderId="5" applyNumberFormat="0" applyFill="0" applyAlignment="0" applyProtection="0"/>
    <xf numFmtId="0" fontId="95" fillId="0" borderId="0" applyNumberFormat="0" applyFill="0" applyBorder="0" applyAlignment="0" applyProtection="0"/>
    <xf numFmtId="182" fontId="4" fillId="0" borderId="0">
      <alignment/>
      <protection locked="0"/>
    </xf>
    <xf numFmtId="182" fontId="4" fillId="0" borderId="0">
      <alignment/>
      <protection locked="0"/>
    </xf>
    <xf numFmtId="0" fontId="5"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172" fontId="6" fillId="0" borderId="0">
      <alignment/>
      <protection/>
    </xf>
    <xf numFmtId="0" fontId="92" fillId="0" borderId="0">
      <alignment/>
      <protection/>
    </xf>
    <xf numFmtId="0" fontId="19" fillId="0" borderId="0">
      <alignment/>
      <protection/>
    </xf>
    <xf numFmtId="0" fontId="0" fillId="32" borderId="7" applyNumberFormat="0" applyFont="0" applyAlignment="0" applyProtection="0"/>
    <xf numFmtId="0" fontId="0" fillId="0" borderId="0" applyFont="0" applyFill="0" applyBorder="0" applyAlignment="0" applyProtection="0"/>
    <xf numFmtId="0" fontId="7" fillId="0" borderId="0">
      <alignment/>
      <protection/>
    </xf>
    <xf numFmtId="0" fontId="99" fillId="27"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 fillId="0" borderId="9">
      <alignment/>
      <protection locked="0"/>
    </xf>
    <xf numFmtId="183" fontId="0" fillId="0" borderId="0" applyFont="0" applyFill="0" applyBorder="0" applyAlignment="0" applyProtection="0"/>
    <xf numFmtId="184" fontId="0" fillId="0" borderId="0" applyFont="0" applyFill="0" applyBorder="0" applyAlignment="0" applyProtection="0"/>
    <xf numFmtId="0" fontId="101" fillId="0" borderId="0"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 fillId="0" borderId="0">
      <alignment/>
      <protection/>
    </xf>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10" fillId="0" borderId="0" applyFont="0" applyFill="0" applyBorder="0" applyAlignment="0" applyProtection="0"/>
    <xf numFmtId="0" fontId="11" fillId="0" borderId="0">
      <alignment/>
      <protection/>
    </xf>
    <xf numFmtId="0" fontId="10" fillId="0" borderId="0" applyFont="0" applyFill="0" applyBorder="0" applyAlignment="0" applyProtection="0"/>
    <xf numFmtId="0"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13" fillId="0" borderId="0">
      <alignment/>
      <protection/>
    </xf>
    <xf numFmtId="0" fontId="12" fillId="0" borderId="0">
      <alignment/>
      <protection/>
    </xf>
    <xf numFmtId="169" fontId="12" fillId="0" borderId="0" applyFont="0" applyFill="0" applyBorder="0" applyAlignment="0" applyProtection="0"/>
    <xf numFmtId="171" fontId="12"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0" fontId="14" fillId="0" borderId="0">
      <alignment/>
      <protection/>
    </xf>
    <xf numFmtId="190" fontId="12" fillId="0" borderId="0" applyFont="0" applyFill="0" applyBorder="0" applyAlignment="0" applyProtection="0"/>
    <xf numFmtId="191" fontId="12"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cellStyleXfs>
  <cellXfs count="248">
    <xf numFmtId="0" fontId="0" fillId="0" borderId="0" xfId="0" applyAlignment="1">
      <alignment/>
    </xf>
    <xf numFmtId="173" fontId="0" fillId="0" borderId="10" xfId="0" applyNumberFormat="1" applyFont="1" applyBorder="1" applyAlignment="1">
      <alignment/>
    </xf>
    <xf numFmtId="0" fontId="17" fillId="0" borderId="0" xfId="0" applyFont="1" applyAlignment="1">
      <alignment/>
    </xf>
    <xf numFmtId="0" fontId="17" fillId="0" borderId="0" xfId="0" applyFont="1" applyAlignment="1">
      <alignment/>
    </xf>
    <xf numFmtId="0" fontId="16" fillId="33" borderId="10" xfId="0" applyFont="1" applyFill="1" applyBorder="1" applyAlignment="1">
      <alignment horizontal="center"/>
    </xf>
    <xf numFmtId="0" fontId="0" fillId="0" borderId="10" xfId="0" applyBorder="1" applyAlignment="1">
      <alignment horizontal="center" vertical="center"/>
    </xf>
    <xf numFmtId="0" fontId="16" fillId="33" borderId="10" xfId="0" applyFont="1" applyFill="1" applyBorder="1" applyAlignment="1">
      <alignment horizontal="center" vertical="center"/>
    </xf>
    <xf numFmtId="0" fontId="16" fillId="33" borderId="10" xfId="0" applyFont="1" applyFill="1" applyBorder="1" applyAlignment="1">
      <alignment horizontal="center" vertical="center" wrapText="1"/>
    </xf>
    <xf numFmtId="0" fontId="17" fillId="0" borderId="0" xfId="0" applyFont="1" applyFill="1" applyAlignment="1">
      <alignment/>
    </xf>
    <xf numFmtId="0" fontId="17" fillId="0" borderId="0" xfId="0" applyFont="1" applyAlignment="1" applyProtection="1">
      <alignment horizontal="center"/>
      <protection hidden="1"/>
    </xf>
    <xf numFmtId="0" fontId="17" fillId="0" borderId="0" xfId="0" applyFont="1" applyAlignment="1" applyProtection="1">
      <alignment/>
      <protection hidden="1"/>
    </xf>
    <xf numFmtId="0" fontId="23" fillId="0" borderId="0" xfId="0" applyFont="1" applyAlignment="1" applyProtection="1">
      <alignment/>
      <protection hidden="1"/>
    </xf>
    <xf numFmtId="0" fontId="19" fillId="0" borderId="10" xfId="71" applyFont="1" applyFill="1" applyBorder="1" applyAlignment="1">
      <alignment horizontal="center"/>
      <protection/>
    </xf>
    <xf numFmtId="0" fontId="0" fillId="0" borderId="10" xfId="0" applyBorder="1" applyAlignment="1">
      <alignment vertical="center"/>
    </xf>
    <xf numFmtId="0" fontId="25" fillId="0" borderId="10" xfId="71" applyFont="1" applyFill="1" applyBorder="1" applyAlignment="1">
      <alignment horizontal="center"/>
      <protection/>
    </xf>
    <xf numFmtId="0" fontId="17" fillId="0" borderId="0" xfId="0" applyFont="1" applyFill="1" applyBorder="1" applyAlignment="1">
      <alignment horizontal="center"/>
    </xf>
    <xf numFmtId="0" fontId="29" fillId="0" borderId="0" xfId="0" applyFont="1" applyAlignment="1">
      <alignment/>
    </xf>
    <xf numFmtId="0" fontId="30" fillId="0" borderId="0" xfId="0" applyFont="1" applyAlignment="1">
      <alignment horizontal="center"/>
    </xf>
    <xf numFmtId="0" fontId="29" fillId="0" borderId="0" xfId="0" applyFont="1" applyAlignment="1">
      <alignment horizontal="center"/>
    </xf>
    <xf numFmtId="0" fontId="29" fillId="0" borderId="0" xfId="0" applyFont="1" applyAlignment="1">
      <alignment/>
    </xf>
    <xf numFmtId="0" fontId="29" fillId="0" borderId="0" xfId="0" applyFont="1" applyAlignment="1" quotePrefix="1">
      <alignment/>
    </xf>
    <xf numFmtId="0" fontId="24" fillId="0" borderId="10" xfId="0" applyFont="1" applyBorder="1" applyAlignment="1">
      <alignment horizontal="left" vertical="center"/>
    </xf>
    <xf numFmtId="0" fontId="20" fillId="0" borderId="0" xfId="0" applyFont="1" applyAlignment="1">
      <alignment/>
    </xf>
    <xf numFmtId="0" fontId="32" fillId="34" borderId="10" xfId="0" applyFont="1" applyFill="1" applyBorder="1" applyAlignment="1" applyProtection="1">
      <alignment horizontal="center" vertical="center"/>
      <protection/>
    </xf>
    <xf numFmtId="0" fontId="32" fillId="35" borderId="10" xfId="0" applyFont="1" applyFill="1" applyBorder="1" applyAlignment="1" applyProtection="1">
      <alignment vertical="center"/>
      <protection/>
    </xf>
    <xf numFmtId="49" fontId="33" fillId="35" borderId="10" xfId="0" applyNumberFormat="1" applyFont="1" applyFill="1" applyBorder="1" applyAlignment="1" applyProtection="1">
      <alignment horizontal="left" vertical="center"/>
      <protection locked="0"/>
    </xf>
    <xf numFmtId="0" fontId="33" fillId="35" borderId="0" xfId="0" applyFont="1" applyFill="1" applyAlignment="1" applyProtection="1">
      <alignment vertical="center"/>
      <protection/>
    </xf>
    <xf numFmtId="0" fontId="32" fillId="34" borderId="10" xfId="0" applyFont="1" applyFill="1" applyBorder="1" applyAlignment="1" applyProtection="1">
      <alignment horizontal="center" vertical="center"/>
      <protection locked="0"/>
    </xf>
    <xf numFmtId="0" fontId="32" fillId="35" borderId="10" xfId="0" applyFont="1" applyFill="1" applyBorder="1" applyAlignment="1" applyProtection="1">
      <alignment horizontal="center" vertical="center"/>
      <protection/>
    </xf>
    <xf numFmtId="0" fontId="32" fillId="35" borderId="10" xfId="0" applyFont="1" applyFill="1" applyBorder="1" applyAlignment="1" applyProtection="1">
      <alignment horizontal="center" vertical="center"/>
      <protection locked="0"/>
    </xf>
    <xf numFmtId="0" fontId="32" fillId="35" borderId="10" xfId="0" applyFont="1" applyFill="1" applyBorder="1" applyAlignment="1" applyProtection="1">
      <alignment horizontal="left" vertical="center"/>
      <protection/>
    </xf>
    <xf numFmtId="0" fontId="102" fillId="0" borderId="0" xfId="0" applyFont="1" applyAlignment="1">
      <alignment horizontal="center"/>
    </xf>
    <xf numFmtId="175" fontId="30" fillId="0" borderId="0" xfId="42" applyNumberFormat="1" applyFont="1" applyAlignment="1">
      <alignment horizontal="center"/>
    </xf>
    <xf numFmtId="175" fontId="0" fillId="0" borderId="0" xfId="42" applyNumberFormat="1" applyFont="1" applyAlignment="1">
      <alignment/>
    </xf>
    <xf numFmtId="175" fontId="30" fillId="0" borderId="0" xfId="42" applyNumberFormat="1" applyFont="1" applyAlignment="1">
      <alignment/>
    </xf>
    <xf numFmtId="175" fontId="29" fillId="0" borderId="0" xfId="42" applyNumberFormat="1" applyFont="1" applyAlignment="1">
      <alignment horizontal="center"/>
    </xf>
    <xf numFmtId="175" fontId="29" fillId="0" borderId="0" xfId="42" applyNumberFormat="1" applyFont="1" applyAlignment="1">
      <alignment/>
    </xf>
    <xf numFmtId="175" fontId="16" fillId="33" borderId="10" xfId="42" applyNumberFormat="1" applyFont="1" applyFill="1" applyBorder="1" applyAlignment="1">
      <alignment horizontal="center" vertical="center"/>
    </xf>
    <xf numFmtId="175" fontId="16" fillId="33" borderId="10" xfId="42" applyNumberFormat="1" applyFont="1" applyFill="1" applyBorder="1" applyAlignment="1">
      <alignment horizontal="center"/>
    </xf>
    <xf numFmtId="175" fontId="17" fillId="0" borderId="10" xfId="42" applyNumberFormat="1" applyFont="1" applyBorder="1" applyAlignment="1">
      <alignment horizontal="center"/>
    </xf>
    <xf numFmtId="0" fontId="17" fillId="36" borderId="10" xfId="0" applyFont="1" applyFill="1" applyBorder="1" applyAlignment="1" quotePrefix="1">
      <alignment/>
    </xf>
    <xf numFmtId="3" fontId="27" fillId="0" borderId="10" xfId="42" applyNumberFormat="1" applyFont="1" applyFill="1" applyBorder="1" applyAlignment="1">
      <alignment/>
    </xf>
    <xf numFmtId="175" fontId="17" fillId="0" borderId="10" xfId="42" applyNumberFormat="1" applyFont="1" applyBorder="1" applyAlignment="1">
      <alignment horizontal="center" vertical="center"/>
    </xf>
    <xf numFmtId="0" fontId="17" fillId="0" borderId="10" xfId="0" applyFont="1" applyBorder="1" applyAlignment="1">
      <alignment horizontal="center"/>
    </xf>
    <xf numFmtId="0" fontId="17" fillId="0" borderId="10" xfId="0" applyFont="1" applyBorder="1" applyAlignment="1">
      <alignment horizontal="center" vertical="center"/>
    </xf>
    <xf numFmtId="0" fontId="0" fillId="37" borderId="10" xfId="0" applyFont="1" applyFill="1" applyBorder="1" applyAlignment="1">
      <alignment horizontal="center"/>
    </xf>
    <xf numFmtId="175" fontId="17" fillId="0" borderId="0" xfId="42" applyNumberFormat="1" applyFont="1" applyAlignment="1">
      <alignment/>
    </xf>
    <xf numFmtId="0" fontId="36" fillId="0" borderId="0" xfId="0" applyFont="1" applyAlignment="1">
      <alignment horizontal="center" vertical="center"/>
    </xf>
    <xf numFmtId="0" fontId="37" fillId="0" borderId="0" xfId="0" applyFont="1" applyAlignment="1">
      <alignment horizontal="center" vertical="center"/>
    </xf>
    <xf numFmtId="0" fontId="21" fillId="0" borderId="0" xfId="0" applyFont="1" applyAlignment="1">
      <alignment horizontal="center" vertical="center"/>
    </xf>
    <xf numFmtId="0" fontId="0" fillId="0" borderId="0" xfId="0" applyAlignment="1">
      <alignment horizontal="center" vertical="center"/>
    </xf>
    <xf numFmtId="0" fontId="16" fillId="38" borderId="10" xfId="0" applyFont="1" applyFill="1" applyBorder="1" applyAlignment="1">
      <alignment horizontal="center" vertical="center"/>
    </xf>
    <xf numFmtId="49" fontId="16" fillId="38" borderId="10" xfId="0" applyNumberFormat="1" applyFont="1" applyFill="1" applyBorder="1" applyAlignment="1">
      <alignment horizontal="center" vertical="center" wrapText="1"/>
    </xf>
    <xf numFmtId="0" fontId="0" fillId="0" borderId="0" xfId="0" applyBorder="1" applyAlignment="1">
      <alignment horizontal="center" vertical="center"/>
    </xf>
    <xf numFmtId="0" fontId="0" fillId="39" borderId="10" xfId="0" applyFont="1" applyFill="1" applyBorder="1" applyAlignment="1">
      <alignment horizontal="center" vertical="center"/>
    </xf>
    <xf numFmtId="0" fontId="0" fillId="0" borderId="10" xfId="0" applyFont="1" applyBorder="1" applyAlignment="1">
      <alignment horizontal="center" vertical="center"/>
    </xf>
    <xf numFmtId="14" fontId="32" fillId="35" borderId="10" xfId="0" applyNumberFormat="1" applyFont="1" applyFill="1" applyBorder="1" applyAlignment="1" applyProtection="1" quotePrefix="1">
      <alignment horizontal="center" vertical="center"/>
      <protection locked="0"/>
    </xf>
    <xf numFmtId="0" fontId="18" fillId="0" borderId="0" xfId="0" applyFont="1" applyAlignment="1">
      <alignment/>
    </xf>
    <xf numFmtId="0" fontId="17" fillId="11" borderId="10" xfId="0" applyFont="1" applyFill="1" applyBorder="1" applyAlignment="1">
      <alignment horizontal="center" vertical="center" wrapText="1"/>
    </xf>
    <xf numFmtId="0" fontId="38" fillId="0" borderId="0" xfId="0" applyFont="1" applyAlignment="1">
      <alignment vertical="center"/>
    </xf>
    <xf numFmtId="0" fontId="39" fillId="0" borderId="0" xfId="0" applyFont="1" applyAlignment="1">
      <alignment/>
    </xf>
    <xf numFmtId="0" fontId="39"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vertical="center"/>
    </xf>
    <xf numFmtId="0" fontId="40" fillId="37" borderId="0" xfId="0" applyFont="1" applyFill="1" applyAlignment="1">
      <alignment/>
    </xf>
    <xf numFmtId="0" fontId="39" fillId="0" borderId="0" xfId="0" applyFont="1" applyAlignment="1">
      <alignment horizontal="center"/>
    </xf>
    <xf numFmtId="0" fontId="103" fillId="0" borderId="0" xfId="0" applyFont="1" applyAlignment="1">
      <alignment horizontal="center"/>
    </xf>
    <xf numFmtId="0" fontId="7" fillId="0" borderId="0" xfId="0" applyFont="1" applyAlignment="1">
      <alignment/>
    </xf>
    <xf numFmtId="49" fontId="33" fillId="35" borderId="10" xfId="0" applyNumberFormat="1" applyFont="1" applyFill="1" applyBorder="1" applyAlignment="1" applyProtection="1" quotePrefix="1">
      <alignment horizontal="left" vertical="center"/>
      <protection locked="0"/>
    </xf>
    <xf numFmtId="0" fontId="32" fillId="35" borderId="0" xfId="0" applyFont="1" applyFill="1" applyBorder="1" applyAlignment="1" applyProtection="1">
      <alignment vertical="center"/>
      <protection/>
    </xf>
    <xf numFmtId="49" fontId="33" fillId="35" borderId="0" xfId="0" applyNumberFormat="1" applyFont="1" applyFill="1" applyBorder="1" applyAlignment="1" applyProtection="1">
      <alignment horizontal="left" vertical="center"/>
      <protection locked="0"/>
    </xf>
    <xf numFmtId="0" fontId="38" fillId="18" borderId="10" xfId="0" applyFont="1" applyFill="1" applyBorder="1" applyAlignment="1">
      <alignment/>
    </xf>
    <xf numFmtId="0" fontId="38" fillId="19" borderId="10" xfId="0" applyFont="1" applyFill="1" applyBorder="1" applyAlignment="1">
      <alignment horizontal="center"/>
    </xf>
    <xf numFmtId="0" fontId="16" fillId="40" borderId="10" xfId="0" applyFont="1" applyFill="1" applyBorder="1" applyAlignment="1">
      <alignment horizontal="center" vertical="center" wrapText="1"/>
    </xf>
    <xf numFmtId="175" fontId="16" fillId="40" borderId="10" xfId="42" applyNumberFormat="1" applyFont="1" applyFill="1" applyBorder="1" applyAlignment="1">
      <alignment horizontal="center" vertical="center" wrapText="1"/>
    </xf>
    <xf numFmtId="0" fontId="7" fillId="0" borderId="0" xfId="0" applyFont="1" applyAlignment="1">
      <alignment horizontal="center" vertical="center"/>
    </xf>
    <xf numFmtId="14" fontId="7" fillId="0" borderId="10" xfId="0" applyNumberFormat="1" applyFont="1" applyBorder="1" applyAlignment="1">
      <alignment/>
    </xf>
    <xf numFmtId="173" fontId="7" fillId="0" borderId="10" xfId="0" applyNumberFormat="1" applyFont="1" applyBorder="1" applyAlignment="1">
      <alignment/>
    </xf>
    <xf numFmtId="173" fontId="7" fillId="0" borderId="10" xfId="0" applyNumberFormat="1" applyFont="1" applyBorder="1" applyAlignment="1" quotePrefix="1">
      <alignment/>
    </xf>
    <xf numFmtId="14" fontId="7" fillId="0" borderId="10" xfId="0" applyNumberFormat="1" applyFont="1" applyBorder="1" applyAlignment="1" quotePrefix="1">
      <alignment/>
    </xf>
    <xf numFmtId="0" fontId="7" fillId="0" borderId="10" xfId="0" applyFont="1" applyBorder="1" applyAlignment="1">
      <alignment/>
    </xf>
    <xf numFmtId="49" fontId="7" fillId="0" borderId="10" xfId="0" applyNumberFormat="1" applyFont="1" applyBorder="1" applyAlignment="1" quotePrefix="1">
      <alignment/>
    </xf>
    <xf numFmtId="3" fontId="7" fillId="0" borderId="10" xfId="42" applyNumberFormat="1" applyFont="1" applyFill="1" applyBorder="1" applyAlignment="1">
      <alignment/>
    </xf>
    <xf numFmtId="49" fontId="7" fillId="0" borderId="10" xfId="0" applyNumberFormat="1" applyFont="1" applyBorder="1" applyAlignment="1">
      <alignment/>
    </xf>
    <xf numFmtId="3" fontId="7" fillId="0" borderId="10" xfId="0" applyNumberFormat="1" applyFont="1" applyBorder="1" applyAlignment="1">
      <alignment/>
    </xf>
    <xf numFmtId="3" fontId="7" fillId="37" borderId="10" xfId="42" applyNumberFormat="1" applyFont="1" applyFill="1" applyBorder="1" applyAlignment="1">
      <alignment/>
    </xf>
    <xf numFmtId="49" fontId="7" fillId="37" borderId="10" xfId="0" applyNumberFormat="1" applyFont="1" applyFill="1" applyBorder="1" applyAlignment="1" quotePrefix="1">
      <alignment/>
    </xf>
    <xf numFmtId="14" fontId="34" fillId="0" borderId="10" xfId="0" applyNumberFormat="1" applyFont="1" applyBorder="1" applyAlignment="1">
      <alignment/>
    </xf>
    <xf numFmtId="173" fontId="34" fillId="0" borderId="10" xfId="0" applyNumberFormat="1" applyFont="1" applyBorder="1" applyAlignment="1">
      <alignment/>
    </xf>
    <xf numFmtId="173" fontId="34" fillId="0" borderId="10" xfId="0" applyNumberFormat="1" applyFont="1" applyBorder="1" applyAlignment="1" quotePrefix="1">
      <alignment/>
    </xf>
    <xf numFmtId="49" fontId="34" fillId="37" borderId="10" xfId="0" applyNumberFormat="1" applyFont="1" applyFill="1" applyBorder="1" applyAlignment="1" quotePrefix="1">
      <alignment/>
    </xf>
    <xf numFmtId="3" fontId="34" fillId="37" borderId="10" xfId="42" applyNumberFormat="1" applyFont="1" applyFill="1" applyBorder="1" applyAlignment="1">
      <alignment/>
    </xf>
    <xf numFmtId="0" fontId="34" fillId="0" borderId="0" xfId="0" applyFont="1" applyAlignment="1">
      <alignment/>
    </xf>
    <xf numFmtId="3" fontId="104" fillId="37" borderId="10" xfId="42" applyNumberFormat="1" applyFont="1" applyFill="1" applyBorder="1" applyAlignment="1">
      <alignment/>
    </xf>
    <xf numFmtId="37" fontId="7" fillId="0" borderId="10" xfId="42" applyNumberFormat="1" applyFont="1" applyFill="1" applyBorder="1" applyAlignment="1">
      <alignment/>
    </xf>
    <xf numFmtId="3" fontId="105" fillId="37" borderId="10" xfId="42" applyNumberFormat="1" applyFont="1" applyFill="1" applyBorder="1" applyAlignment="1">
      <alignment/>
    </xf>
    <xf numFmtId="49" fontId="7" fillId="0" borderId="0" xfId="0" applyNumberFormat="1" applyFont="1" applyAlignment="1">
      <alignment/>
    </xf>
    <xf numFmtId="3" fontId="7" fillId="0" borderId="0" xfId="0" applyNumberFormat="1" applyFont="1" applyAlignment="1">
      <alignment/>
    </xf>
    <xf numFmtId="0" fontId="28" fillId="0" borderId="0" xfId="0" applyFont="1" applyAlignment="1">
      <alignment/>
    </xf>
    <xf numFmtId="0" fontId="0" fillId="0" borderId="0" xfId="0" applyAlignment="1">
      <alignment vertical="center"/>
    </xf>
    <xf numFmtId="3" fontId="106" fillId="0" borderId="10" xfId="0" applyNumberFormat="1" applyFont="1" applyBorder="1" applyAlignment="1">
      <alignment horizontal="center" vertical="center"/>
    </xf>
    <xf numFmtId="175" fontId="106" fillId="0" borderId="10" xfId="42" applyNumberFormat="1" applyFont="1" applyFill="1" applyBorder="1" applyAlignment="1">
      <alignment horizontal="center" vertical="center"/>
    </xf>
    <xf numFmtId="0" fontId="107" fillId="0" borderId="0" xfId="0" applyFont="1" applyAlignment="1">
      <alignment vertical="center"/>
    </xf>
    <xf numFmtId="175" fontId="0" fillId="0" borderId="10" xfId="42" applyNumberFormat="1" applyFont="1" applyFill="1" applyBorder="1" applyAlignment="1">
      <alignment horizontal="center" wrapText="1"/>
    </xf>
    <xf numFmtId="0" fontId="108" fillId="0" borderId="0" xfId="0" applyFont="1" applyAlignment="1">
      <alignment/>
    </xf>
    <xf numFmtId="0" fontId="109" fillId="0" borderId="0" xfId="0" applyFont="1" applyAlignment="1">
      <alignment/>
    </xf>
    <xf numFmtId="175" fontId="0" fillId="37" borderId="10" xfId="42" applyNumberFormat="1" applyFont="1" applyFill="1" applyBorder="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wrapText="1"/>
    </xf>
    <xf numFmtId="175" fontId="0" fillId="0" borderId="0" xfId="42" applyNumberFormat="1" applyFont="1" applyAlignment="1">
      <alignment wrapText="1"/>
    </xf>
    <xf numFmtId="3" fontId="0" fillId="0" borderId="0" xfId="0" applyNumberFormat="1" applyAlignment="1">
      <alignment wrapText="1"/>
    </xf>
    <xf numFmtId="173" fontId="0" fillId="37" borderId="10" xfId="0" applyNumberFormat="1" applyFont="1" applyFill="1" applyBorder="1" applyAlignment="1">
      <alignment/>
    </xf>
    <xf numFmtId="173" fontId="0" fillId="37" borderId="10" xfId="0" applyNumberFormat="1" applyFont="1" applyFill="1" applyBorder="1" applyAlignment="1">
      <alignment horizontal="center"/>
    </xf>
    <xf numFmtId="3" fontId="0" fillId="37" borderId="10" xfId="0" applyNumberFormat="1" applyFont="1" applyFill="1" applyBorder="1" applyAlignment="1">
      <alignment wrapText="1"/>
    </xf>
    <xf numFmtId="175" fontId="0" fillId="37" borderId="10" xfId="42" applyNumberFormat="1" applyFont="1" applyFill="1" applyBorder="1" applyAlignment="1">
      <alignment horizontal="center" wrapText="1"/>
    </xf>
    <xf numFmtId="175" fontId="0" fillId="37" borderId="0" xfId="42" applyNumberFormat="1" applyFont="1" applyFill="1" applyAlignment="1">
      <alignment/>
    </xf>
    <xf numFmtId="0" fontId="0" fillId="37" borderId="10" xfId="0" applyFont="1" applyFill="1" applyBorder="1" applyAlignment="1">
      <alignment wrapText="1"/>
    </xf>
    <xf numFmtId="49" fontId="110" fillId="0" borderId="10" xfId="0" applyNumberFormat="1" applyFont="1" applyBorder="1" applyAlignment="1" quotePrefix="1">
      <alignment/>
    </xf>
    <xf numFmtId="49" fontId="110" fillId="37" borderId="10" xfId="0" applyNumberFormat="1" applyFont="1" applyFill="1" applyBorder="1" applyAlignment="1" quotePrefix="1">
      <alignment/>
    </xf>
    <xf numFmtId="49" fontId="110" fillId="0" borderId="10" xfId="0" applyNumberFormat="1" applyFont="1" applyBorder="1" applyAlignment="1">
      <alignment/>
    </xf>
    <xf numFmtId="49" fontId="110" fillId="37" borderId="10" xfId="0" applyNumberFormat="1" applyFont="1" applyFill="1" applyBorder="1" applyAlignment="1">
      <alignment/>
    </xf>
    <xf numFmtId="49" fontId="111" fillId="37" borderId="10" xfId="0" applyNumberFormat="1" applyFont="1" applyFill="1" applyBorder="1" applyAlignment="1" quotePrefix="1">
      <alignment/>
    </xf>
    <xf numFmtId="49" fontId="110" fillId="0" borderId="0" xfId="0" applyNumberFormat="1" applyFont="1" applyAlignment="1">
      <alignment wrapText="1"/>
    </xf>
    <xf numFmtId="49" fontId="16" fillId="11" borderId="10" xfId="0" applyNumberFormat="1" applyFont="1" applyFill="1" applyBorder="1" applyAlignment="1">
      <alignment horizontal="center" vertical="center" wrapText="1"/>
    </xf>
    <xf numFmtId="0" fontId="16" fillId="11" borderId="10" xfId="0" applyFont="1" applyFill="1" applyBorder="1" applyAlignment="1">
      <alignment horizontal="center" vertical="center" wrapText="1"/>
    </xf>
    <xf numFmtId="175" fontId="16" fillId="11" borderId="10" xfId="42" applyNumberFormat="1" applyFont="1" applyFill="1" applyBorder="1" applyAlignment="1">
      <alignment horizontal="center" vertical="center" wrapText="1"/>
    </xf>
    <xf numFmtId="0" fontId="112" fillId="11" borderId="10" xfId="0" applyFont="1" applyFill="1" applyBorder="1" applyAlignment="1">
      <alignment horizontal="center" vertical="center" wrapText="1"/>
    </xf>
    <xf numFmtId="0" fontId="30" fillId="0" borderId="0" xfId="0" applyFont="1" applyAlignment="1">
      <alignment/>
    </xf>
    <xf numFmtId="173" fontId="22" fillId="0" borderId="10" xfId="0" applyNumberFormat="1" applyFont="1" applyBorder="1" applyAlignment="1" applyProtection="1">
      <alignment horizontal="center"/>
      <protection hidden="1"/>
    </xf>
    <xf numFmtId="173" fontId="17" fillId="0" borderId="10" xfId="0" applyNumberFormat="1" applyFont="1" applyBorder="1" applyAlignment="1" applyProtection="1">
      <alignment horizontal="center"/>
      <protection hidden="1"/>
    </xf>
    <xf numFmtId="0" fontId="17" fillId="0" borderId="10" xfId="0" applyFont="1" applyBorder="1" applyAlignment="1">
      <alignment horizontal="left" vertical="center"/>
    </xf>
    <xf numFmtId="0" fontId="26" fillId="11" borderId="10" xfId="0" applyFont="1" applyFill="1" applyBorder="1" applyAlignment="1">
      <alignment horizontal="center" vertical="center" wrapText="1"/>
    </xf>
    <xf numFmtId="0" fontId="105" fillId="11" borderId="10" xfId="0" applyFont="1" applyFill="1" applyBorder="1" applyAlignment="1">
      <alignment horizontal="center" vertical="center" wrapText="1"/>
    </xf>
    <xf numFmtId="0" fontId="16" fillId="11" borderId="10" xfId="0" applyFont="1" applyFill="1" applyBorder="1" applyAlignment="1">
      <alignment horizontal="center" vertical="center"/>
    </xf>
    <xf numFmtId="0" fontId="25" fillId="0" borderId="10" xfId="71" applyFont="1" applyFill="1" applyBorder="1" applyAlignment="1">
      <alignment/>
      <protection/>
    </xf>
    <xf numFmtId="0" fontId="19" fillId="0" borderId="10" xfId="71" applyFont="1" applyFill="1" applyBorder="1" applyAlignment="1">
      <alignment/>
      <protection/>
    </xf>
    <xf numFmtId="175" fontId="0" fillId="0" borderId="10" xfId="42" applyNumberFormat="1" applyFont="1" applyBorder="1" applyAlignment="1">
      <alignment vertical="center"/>
    </xf>
    <xf numFmtId="0" fontId="113" fillId="0" borderId="0" xfId="0" applyFont="1" applyAlignment="1">
      <alignment/>
    </xf>
    <xf numFmtId="173" fontId="7" fillId="37" borderId="10" xfId="0" applyNumberFormat="1" applyFont="1" applyFill="1" applyBorder="1" applyAlignment="1">
      <alignment/>
    </xf>
    <xf numFmtId="173" fontId="34" fillId="37" borderId="10" xfId="0" applyNumberFormat="1" applyFont="1" applyFill="1" applyBorder="1" applyAlignment="1">
      <alignment/>
    </xf>
    <xf numFmtId="173" fontId="7" fillId="0" borderId="10" xfId="0" applyNumberFormat="1" applyFont="1" applyBorder="1" applyAlignment="1">
      <alignment wrapText="1"/>
    </xf>
    <xf numFmtId="0" fontId="114" fillId="0" borderId="0" xfId="0" applyFont="1" applyAlignment="1" quotePrefix="1">
      <alignment horizontal="left" vertical="center"/>
    </xf>
    <xf numFmtId="0" fontId="115" fillId="0" borderId="11" xfId="0" applyFont="1" applyBorder="1" applyAlignment="1">
      <alignment/>
    </xf>
    <xf numFmtId="0" fontId="116" fillId="0" borderId="0" xfId="0" applyFont="1" applyAlignment="1">
      <alignment/>
    </xf>
    <xf numFmtId="49" fontId="18" fillId="11" borderId="12" xfId="0" applyNumberFormat="1" applyFont="1" applyFill="1" applyBorder="1" applyAlignment="1">
      <alignment horizontal="center" vertical="center" wrapText="1"/>
    </xf>
    <xf numFmtId="0" fontId="18" fillId="11" borderId="13" xfId="0" applyFont="1" applyFill="1" applyBorder="1" applyAlignment="1">
      <alignment horizontal="center"/>
    </xf>
    <xf numFmtId="0" fontId="117" fillId="0" borderId="0" xfId="0" applyFont="1" applyAlignment="1">
      <alignment/>
    </xf>
    <xf numFmtId="0" fontId="29" fillId="0" borderId="0" xfId="0" applyFont="1" applyAlignment="1">
      <alignment wrapText="1"/>
    </xf>
    <xf numFmtId="0" fontId="117" fillId="0" borderId="0" xfId="0" applyFont="1" applyAlignment="1">
      <alignment/>
    </xf>
    <xf numFmtId="0" fontId="118" fillId="0" borderId="0" xfId="0" applyFont="1" applyAlignment="1">
      <alignment/>
    </xf>
    <xf numFmtId="0" fontId="118" fillId="0" borderId="0" xfId="0" applyFont="1" applyAlignment="1">
      <alignment horizontal="left" vertical="center"/>
    </xf>
    <xf numFmtId="0" fontId="30" fillId="0" borderId="0" xfId="0" applyFont="1" applyFill="1" applyAlignment="1">
      <alignment vertical="center" wrapText="1"/>
    </xf>
    <xf numFmtId="43" fontId="117" fillId="0" borderId="0" xfId="45" applyFont="1" applyAlignment="1">
      <alignment vertical="center"/>
    </xf>
    <xf numFmtId="0" fontId="117" fillId="0" borderId="0" xfId="0" applyFont="1" applyAlignment="1">
      <alignment horizontal="left" vertical="center"/>
    </xf>
    <xf numFmtId="0" fontId="117" fillId="39" borderId="0" xfId="0" applyFont="1" applyFill="1" applyAlignment="1">
      <alignment horizontal="left" vertical="center"/>
    </xf>
    <xf numFmtId="0" fontId="117" fillId="0" borderId="14" xfId="0" applyFont="1" applyBorder="1" applyAlignment="1">
      <alignment horizontal="left" vertical="center" wrapText="1"/>
    </xf>
    <xf numFmtId="0" fontId="30" fillId="0" borderId="14" xfId="0" applyFont="1" applyFill="1" applyBorder="1" applyAlignment="1">
      <alignment vertical="center" wrapText="1"/>
    </xf>
    <xf numFmtId="0" fontId="29" fillId="0" borderId="0" xfId="0" applyFont="1" applyFill="1" applyAlignment="1">
      <alignment vertical="center" wrapText="1"/>
    </xf>
    <xf numFmtId="0" fontId="119" fillId="0" borderId="0" xfId="0" applyFont="1" applyAlignment="1">
      <alignment horizontal="left" vertical="center"/>
    </xf>
    <xf numFmtId="0" fontId="30" fillId="41" borderId="10" xfId="0" applyFont="1" applyFill="1" applyBorder="1" applyAlignment="1">
      <alignment horizontal="center" vertical="center" wrapText="1"/>
    </xf>
    <xf numFmtId="43" fontId="30" fillId="41" borderId="10" xfId="45" applyFont="1" applyFill="1" applyBorder="1" applyAlignment="1">
      <alignment vertical="center" wrapText="1"/>
    </xf>
    <xf numFmtId="0" fontId="29" fillId="0" borderId="10" xfId="0" applyFont="1" applyFill="1" applyBorder="1" applyAlignment="1">
      <alignment horizontal="left" vertical="center" wrapText="1"/>
    </xf>
    <xf numFmtId="173" fontId="29" fillId="0" borderId="10" xfId="0" applyNumberFormat="1" applyFont="1" applyFill="1" applyBorder="1" applyAlignment="1" applyProtection="1">
      <alignment vertical="center" wrapText="1"/>
      <protection hidden="1"/>
    </xf>
    <xf numFmtId="0" fontId="29" fillId="0" borderId="10" xfId="0" applyFont="1" applyBorder="1" applyAlignment="1">
      <alignment horizontal="center" vertical="center"/>
    </xf>
    <xf numFmtId="49" fontId="29" fillId="0" borderId="10" xfId="0" applyNumberFormat="1" applyFont="1" applyFill="1" applyBorder="1" applyAlignment="1" quotePrefix="1">
      <alignment vertical="center" wrapText="1"/>
    </xf>
    <xf numFmtId="0" fontId="30" fillId="0" borderId="10" xfId="0" applyFont="1" applyFill="1" applyBorder="1" applyAlignment="1">
      <alignment horizontal="left" vertical="center" wrapText="1"/>
    </xf>
    <xf numFmtId="43" fontId="120" fillId="0" borderId="10" xfId="45" applyFont="1" applyBorder="1" applyAlignment="1">
      <alignment vertical="center"/>
    </xf>
    <xf numFmtId="0" fontId="121" fillId="0" borderId="0" xfId="0" applyFont="1" applyBorder="1" applyAlignment="1">
      <alignment/>
    </xf>
    <xf numFmtId="0" fontId="117" fillId="0" borderId="0" xfId="0" applyFont="1" applyAlignment="1">
      <alignment horizontal="center"/>
    </xf>
    <xf numFmtId="0" fontId="120" fillId="0" borderId="0" xfId="0" applyFont="1" applyAlignment="1">
      <alignment/>
    </xf>
    <xf numFmtId="0" fontId="29" fillId="0" borderId="0" xfId="0" applyFont="1" applyBorder="1" applyAlignment="1">
      <alignment horizontal="center" vertical="center"/>
    </xf>
    <xf numFmtId="0" fontId="30" fillId="0" borderId="0" xfId="0" applyFont="1" applyFill="1" applyBorder="1" applyAlignment="1">
      <alignment horizontal="left" vertical="center" wrapText="1"/>
    </xf>
    <xf numFmtId="43" fontId="120" fillId="0" borderId="0" xfId="45" applyFont="1" applyBorder="1" applyAlignment="1">
      <alignment vertical="center"/>
    </xf>
    <xf numFmtId="43" fontId="120" fillId="0" borderId="0" xfId="45" applyFont="1" applyAlignment="1">
      <alignment vertical="center"/>
    </xf>
    <xf numFmtId="0" fontId="29" fillId="0" borderId="10" xfId="0" applyFont="1" applyBorder="1" applyAlignment="1">
      <alignment vertical="center"/>
    </xf>
    <xf numFmtId="0" fontId="118" fillId="41" borderId="10" xfId="0" applyFont="1" applyFill="1" applyBorder="1" applyAlignment="1">
      <alignment horizontal="center" vertical="center" wrapText="1"/>
    </xf>
    <xf numFmtId="43" fontId="118" fillId="41" borderId="10" xfId="45" applyFont="1" applyFill="1" applyBorder="1" applyAlignment="1">
      <alignment vertical="center" wrapText="1"/>
    </xf>
    <xf numFmtId="0" fontId="117" fillId="0" borderId="10" xfId="0" applyFont="1" applyBorder="1" applyAlignment="1">
      <alignment horizontal="justify" vertical="center" wrapText="1"/>
    </xf>
    <xf numFmtId="207" fontId="29" fillId="0" borderId="10" xfId="45" applyNumberFormat="1" applyFont="1" applyBorder="1" applyAlignment="1">
      <alignment vertical="center"/>
    </xf>
    <xf numFmtId="0" fontId="29" fillId="0" borderId="10" xfId="0" applyFont="1" applyBorder="1" applyAlignment="1">
      <alignment vertical="center" wrapText="1"/>
    </xf>
    <xf numFmtId="0" fontId="117" fillId="0" borderId="10" xfId="0" applyFont="1" applyBorder="1" applyAlignment="1">
      <alignment/>
    </xf>
    <xf numFmtId="0" fontId="29" fillId="0" borderId="10" xfId="0" applyFont="1" applyBorder="1" applyAlignment="1">
      <alignment wrapText="1"/>
    </xf>
    <xf numFmtId="43" fontId="29" fillId="0" borderId="10" xfId="45" applyFont="1" applyBorder="1" applyAlignment="1">
      <alignment vertical="center"/>
    </xf>
    <xf numFmtId="0" fontId="30" fillId="0" borderId="10" xfId="0" applyFont="1" applyBorder="1" applyAlignment="1">
      <alignment wrapText="1"/>
    </xf>
    <xf numFmtId="173" fontId="29" fillId="0" borderId="10" xfId="0" applyNumberFormat="1" applyFont="1" applyFill="1" applyBorder="1" applyAlignment="1" applyProtection="1">
      <alignment horizontal="left" vertical="center" wrapText="1"/>
      <protection hidden="1"/>
    </xf>
    <xf numFmtId="0" fontId="29" fillId="0" borderId="10" xfId="0" applyFont="1" applyFill="1" applyBorder="1" applyAlignment="1">
      <alignment vertical="center" wrapText="1"/>
    </xf>
    <xf numFmtId="0" fontId="29" fillId="35" borderId="10" xfId="0" applyFont="1" applyFill="1" applyBorder="1" applyAlignment="1" applyProtection="1">
      <alignment horizontal="left" vertical="center" wrapText="1"/>
      <protection/>
    </xf>
    <xf numFmtId="0" fontId="29" fillId="0" borderId="15" xfId="0" applyFont="1" applyFill="1" applyBorder="1" applyAlignment="1">
      <alignment vertical="center" wrapText="1"/>
    </xf>
    <xf numFmtId="0" fontId="29" fillId="35" borderId="13" xfId="0" applyFont="1" applyFill="1" applyBorder="1" applyAlignment="1" applyProtection="1">
      <alignment horizontal="left" vertical="center" wrapText="1"/>
      <protection/>
    </xf>
    <xf numFmtId="0" fontId="29" fillId="0" borderId="15" xfId="0" applyFont="1" applyBorder="1" applyAlignment="1">
      <alignment vertical="center"/>
    </xf>
    <xf numFmtId="0" fontId="17" fillId="36" borderId="10" xfId="0" applyFont="1" applyFill="1" applyBorder="1" applyAlignment="1" quotePrefix="1">
      <alignment horizontal="center"/>
    </xf>
    <xf numFmtId="175" fontId="0" fillId="0" borderId="10" xfId="42" applyNumberFormat="1" applyFont="1" applyBorder="1" applyAlignment="1">
      <alignment horizontal="center"/>
    </xf>
    <xf numFmtId="175" fontId="0" fillId="0" borderId="10" xfId="42" applyNumberFormat="1" applyFont="1" applyBorder="1" applyAlignment="1">
      <alignment/>
    </xf>
    <xf numFmtId="175" fontId="0" fillId="0" borderId="10" xfId="42" applyNumberFormat="1" applyFont="1" applyBorder="1" applyAlignment="1">
      <alignment horizontal="center" vertical="center" wrapText="1"/>
    </xf>
    <xf numFmtId="175" fontId="16" fillId="0" borderId="10" xfId="42" applyNumberFormat="1" applyFont="1" applyBorder="1" applyAlignment="1">
      <alignment horizontal="center" vertical="center" wrapText="1"/>
    </xf>
    <xf numFmtId="0" fontId="108" fillId="0" borderId="10" xfId="71" applyFont="1" applyFill="1" applyBorder="1" applyAlignment="1">
      <alignment/>
      <protection/>
    </xf>
    <xf numFmtId="0" fontId="108" fillId="0" borderId="10" xfId="71" applyFont="1" applyFill="1" applyBorder="1" applyAlignment="1">
      <alignment horizontal="center"/>
      <protection/>
    </xf>
    <xf numFmtId="175" fontId="108" fillId="0" borderId="10" xfId="42" applyNumberFormat="1" applyFont="1" applyBorder="1" applyAlignment="1">
      <alignment vertical="center"/>
    </xf>
    <xf numFmtId="175" fontId="112" fillId="0" borderId="10" xfId="42" applyNumberFormat="1" applyFont="1" applyBorder="1" applyAlignment="1">
      <alignment vertical="center"/>
    </xf>
    <xf numFmtId="175" fontId="0" fillId="39" borderId="10" xfId="42" applyNumberFormat="1" applyFont="1" applyFill="1" applyBorder="1" applyAlignment="1">
      <alignment vertical="center"/>
    </xf>
    <xf numFmtId="175" fontId="0" fillId="0" borderId="10" xfId="42" applyNumberFormat="1" applyFont="1" applyFill="1" applyBorder="1" applyAlignment="1">
      <alignment horizontal="center"/>
    </xf>
    <xf numFmtId="0" fontId="122" fillId="0" borderId="0" xfId="0" applyFont="1" applyAlignment="1">
      <alignment horizontal="left" wrapText="1"/>
    </xf>
    <xf numFmtId="0" fontId="123" fillId="42" borderId="16" xfId="0" applyFont="1" applyFill="1" applyBorder="1" applyAlignment="1">
      <alignment horizontal="left"/>
    </xf>
    <xf numFmtId="0" fontId="123" fillId="42" borderId="4" xfId="0" applyFont="1" applyFill="1" applyBorder="1" applyAlignment="1">
      <alignment horizontal="left"/>
    </xf>
    <xf numFmtId="0" fontId="123" fillId="42" borderId="17" xfId="0" applyFont="1" applyFill="1" applyBorder="1" applyAlignment="1">
      <alignment horizontal="left"/>
    </xf>
    <xf numFmtId="0" fontId="118" fillId="0" borderId="18" xfId="0" applyFont="1" applyBorder="1" applyAlignment="1">
      <alignment horizontal="left"/>
    </xf>
    <xf numFmtId="43" fontId="29" fillId="0" borderId="12" xfId="42" applyFont="1" applyBorder="1" applyAlignment="1">
      <alignment vertical="center"/>
    </xf>
    <xf numFmtId="43" fontId="29" fillId="0" borderId="13" xfId="42" applyFont="1" applyBorder="1" applyAlignment="1">
      <alignment vertical="center"/>
    </xf>
    <xf numFmtId="43" fontId="29" fillId="0" borderId="12" xfId="45" applyNumberFormat="1" applyFont="1" applyBorder="1" applyAlignment="1">
      <alignment vertical="center"/>
    </xf>
    <xf numFmtId="43" fontId="29" fillId="0" borderId="13" xfId="45" applyNumberFormat="1" applyFont="1" applyBorder="1" applyAlignment="1">
      <alignment vertical="center"/>
    </xf>
    <xf numFmtId="0" fontId="117" fillId="0" borderId="12" xfId="0" applyFont="1" applyBorder="1" applyAlignment="1">
      <alignment/>
    </xf>
    <xf numFmtId="0" fontId="117" fillId="0" borderId="13" xfId="0" applyFont="1" applyBorder="1" applyAlignment="1">
      <alignment/>
    </xf>
    <xf numFmtId="0" fontId="118" fillId="0" borderId="18" xfId="0" applyFont="1" applyBorder="1" applyAlignment="1">
      <alignment horizontal="left" vertical="center"/>
    </xf>
    <xf numFmtId="0" fontId="29" fillId="0" borderId="10" xfId="0" applyFont="1" applyBorder="1" applyAlignment="1">
      <alignment horizontal="center" vertical="center"/>
    </xf>
    <xf numFmtId="0" fontId="118" fillId="43" borderId="0" xfId="0" applyFont="1" applyFill="1" applyAlignment="1">
      <alignment horizontal="center"/>
    </xf>
    <xf numFmtId="49" fontId="35" fillId="0" borderId="10" xfId="0" applyNumberFormat="1" applyFont="1" applyBorder="1" applyAlignment="1">
      <alignment horizontal="center"/>
    </xf>
    <xf numFmtId="0" fontId="124" fillId="43" borderId="0" xfId="0" applyFont="1" applyFill="1" applyBorder="1" applyAlignment="1">
      <alignment horizontal="center"/>
    </xf>
    <xf numFmtId="0" fontId="15" fillId="43" borderId="18" xfId="0" applyFont="1" applyFill="1" applyBorder="1" applyAlignment="1">
      <alignment horizontal="center" vertical="center"/>
    </xf>
    <xf numFmtId="0" fontId="106" fillId="0" borderId="16" xfId="0" applyFont="1" applyBorder="1" applyAlignment="1">
      <alignment horizontal="center" vertical="center" wrapText="1"/>
    </xf>
    <xf numFmtId="0" fontId="106" fillId="0" borderId="4" xfId="0" applyFont="1" applyBorder="1" applyAlignment="1">
      <alignment horizontal="center" vertical="center" wrapText="1"/>
    </xf>
    <xf numFmtId="0" fontId="106" fillId="0" borderId="17" xfId="0" applyFont="1" applyBorder="1" applyAlignment="1">
      <alignment horizontal="center" vertical="center" wrapText="1"/>
    </xf>
    <xf numFmtId="0" fontId="125" fillId="43" borderId="0" xfId="0" applyFont="1" applyFill="1" applyAlignment="1">
      <alignment horizontal="center" vertical="center"/>
    </xf>
    <xf numFmtId="0" fontId="16" fillId="40" borderId="10" xfId="0" applyFont="1" applyFill="1" applyBorder="1" applyAlignment="1">
      <alignment horizontal="center" vertical="center" wrapText="1"/>
    </xf>
    <xf numFmtId="0" fontId="16" fillId="40" borderId="12" xfId="0" applyFont="1" applyFill="1" applyBorder="1" applyAlignment="1">
      <alignment horizontal="center" vertical="center" wrapText="1"/>
    </xf>
    <xf numFmtId="0" fontId="16" fillId="40" borderId="13" xfId="0" applyFont="1" applyFill="1" applyBorder="1" applyAlignment="1">
      <alignment horizontal="center" vertical="center" wrapText="1"/>
    </xf>
    <xf numFmtId="175" fontId="16" fillId="40" borderId="17" xfId="42" applyNumberFormat="1" applyFont="1" applyFill="1" applyBorder="1" applyAlignment="1">
      <alignment horizontal="center" vertical="center" wrapText="1"/>
    </xf>
    <xf numFmtId="175" fontId="16" fillId="40" borderId="10" xfId="42" applyNumberFormat="1" applyFont="1" applyFill="1" applyBorder="1" applyAlignment="1">
      <alignment horizontal="center" vertical="center" wrapText="1"/>
    </xf>
    <xf numFmtId="175" fontId="16" fillId="40" borderId="12" xfId="42" applyNumberFormat="1" applyFont="1" applyFill="1" applyBorder="1" applyAlignment="1">
      <alignment horizontal="center" vertical="center"/>
    </xf>
    <xf numFmtId="175" fontId="16" fillId="40" borderId="13" xfId="42" applyNumberFormat="1" applyFont="1" applyFill="1" applyBorder="1" applyAlignment="1">
      <alignment horizontal="center" vertical="center"/>
    </xf>
    <xf numFmtId="0" fontId="17" fillId="11" borderId="12" xfId="0" applyFont="1" applyFill="1" applyBorder="1" applyAlignment="1">
      <alignment horizontal="center" vertical="center" wrapText="1"/>
    </xf>
    <xf numFmtId="0" fontId="17" fillId="11" borderId="15"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7" fillId="11" borderId="1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17" fillId="11" borderId="21" xfId="0" applyFont="1" applyFill="1" applyBorder="1" applyAlignment="1">
      <alignment horizontal="center" vertical="center" wrapText="1"/>
    </xf>
    <xf numFmtId="0" fontId="17" fillId="11" borderId="22" xfId="0" applyFont="1" applyFill="1" applyBorder="1" applyAlignment="1">
      <alignment horizontal="center" vertical="center" wrapText="1"/>
    </xf>
    <xf numFmtId="0" fontId="29" fillId="0" borderId="0" xfId="0" applyFont="1" applyAlignment="1">
      <alignment horizontal="center"/>
    </xf>
    <xf numFmtId="0" fontId="0" fillId="11" borderId="15" xfId="0" applyFill="1" applyBorder="1" applyAlignment="1">
      <alignment horizontal="center" vertical="center" wrapText="1"/>
    </xf>
    <xf numFmtId="0" fontId="0" fillId="11" borderId="13" xfId="0" applyFill="1" applyBorder="1" applyAlignment="1">
      <alignment horizontal="center" vertical="center" wrapText="1"/>
    </xf>
    <xf numFmtId="0" fontId="30" fillId="0" borderId="0" xfId="0" applyFont="1" applyAlignment="1">
      <alignment horizontal="center"/>
    </xf>
    <xf numFmtId="0" fontId="17" fillId="11" borderId="10" xfId="0" applyFont="1" applyFill="1" applyBorder="1" applyAlignment="1">
      <alignment horizontal="center" vertical="center" wrapText="1"/>
    </xf>
    <xf numFmtId="0" fontId="17" fillId="11" borderId="16" xfId="0" applyFont="1" applyFill="1" applyBorder="1" applyAlignment="1">
      <alignment horizontal="center" vertical="center" wrapText="1"/>
    </xf>
    <xf numFmtId="0" fontId="17" fillId="11" borderId="4" xfId="0" applyFont="1" applyFill="1" applyBorder="1" applyAlignment="1">
      <alignment horizontal="center" vertical="center" wrapText="1"/>
    </xf>
    <xf numFmtId="0" fontId="17" fillId="11" borderId="17" xfId="0" applyFont="1" applyFill="1" applyBorder="1" applyAlignment="1">
      <alignment horizontal="center" vertical="center" wrapText="1"/>
    </xf>
    <xf numFmtId="0" fontId="15" fillId="43" borderId="0" xfId="0" applyFont="1" applyFill="1" applyAlignment="1">
      <alignment horizontal="center" vertical="center" wrapText="1"/>
    </xf>
    <xf numFmtId="0" fontId="15" fillId="43" borderId="0" xfId="0" applyFont="1" applyFill="1" applyAlignment="1">
      <alignment horizontal="center"/>
    </xf>
    <xf numFmtId="0" fontId="17" fillId="0" borderId="0" xfId="0" applyFont="1" applyAlignment="1">
      <alignment horizontal="center"/>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0" xfId="49"/>
    <cellStyle name="Date" xfId="50"/>
    <cellStyle name="Dezimal [0]_UXO VII" xfId="51"/>
    <cellStyle name="Dezimal_UXO VII" xfId="52"/>
    <cellStyle name="Explanatory Text" xfId="53"/>
    <cellStyle name="Fixed" xfId="54"/>
    <cellStyle name="Followed Hyperlink" xfId="55"/>
    <cellStyle name="Good" xfId="56"/>
    <cellStyle name="Header1" xfId="57"/>
    <cellStyle name="Header2" xfId="58"/>
    <cellStyle name="Heading 1" xfId="59"/>
    <cellStyle name="Heading 2" xfId="60"/>
    <cellStyle name="Heading 3" xfId="61"/>
    <cellStyle name="Heading 4" xfId="62"/>
    <cellStyle name="Heading1" xfId="63"/>
    <cellStyle name="Heading2" xfId="64"/>
    <cellStyle name="Hyperlink" xfId="65"/>
    <cellStyle name="Input" xfId="66"/>
    <cellStyle name="Linked Cell" xfId="67"/>
    <cellStyle name="Neutral" xfId="68"/>
    <cellStyle name="Normal - Style1" xfId="69"/>
    <cellStyle name="Normal 2" xfId="70"/>
    <cellStyle name="Normal_Sheet3" xfId="71"/>
    <cellStyle name="Note" xfId="72"/>
    <cellStyle name="omma [0]_Mktg Prog" xfId="73"/>
    <cellStyle name="ormal_Sheet1_1" xfId="74"/>
    <cellStyle name="Output" xfId="75"/>
    <cellStyle name="Percent" xfId="76"/>
    <cellStyle name="Title" xfId="77"/>
    <cellStyle name="Total" xfId="78"/>
    <cellStyle name="Währung [0]_UXO VII" xfId="79"/>
    <cellStyle name="Währung_UXO VII" xfId="80"/>
    <cellStyle name="Warning Text" xfId="81"/>
    <cellStyle name="เครื่องหมายสกุลเงิน [0]_FTC_OFFER" xfId="82"/>
    <cellStyle name="เครื่องหมายสกุลเงิน_FTC_OFFER" xfId="83"/>
    <cellStyle name="ปกติ_FTC_OFFER" xfId="84"/>
    <cellStyle name="똿뗦먛귟 [0.00]_PRODUCT DETAIL Q1" xfId="85"/>
    <cellStyle name="똿뗦먛귟_PRODUCT DETAIL Q1" xfId="86"/>
    <cellStyle name="믅됞 [0.00]_PRODUCT DETAIL Q1" xfId="87"/>
    <cellStyle name="믅됞_PRODUCT DETAIL Q1" xfId="88"/>
    <cellStyle name="백분율_95" xfId="89"/>
    <cellStyle name="뷭?_BOOKSHIP" xfId="90"/>
    <cellStyle name="콤마 [0]_ 비목별 월별기술 " xfId="91"/>
    <cellStyle name="콤마_ 비목별 월별기술 " xfId="92"/>
    <cellStyle name="통화 [0]_1202" xfId="93"/>
    <cellStyle name="통화_1202" xfId="94"/>
    <cellStyle name="표준_(정보부문)월별인원계획" xfId="95"/>
    <cellStyle name="一般_Book1" xfId="96"/>
    <cellStyle name="千分位[0]_Book1" xfId="97"/>
    <cellStyle name="千分位_Book1" xfId="98"/>
    <cellStyle name="桁区切り [0.00]_List-dwg瑩畳䵜楡" xfId="99"/>
    <cellStyle name="桁区切り_List-dwgist-" xfId="100"/>
    <cellStyle name="標準_List-dwgis" xfId="101"/>
    <cellStyle name="貨幣 [0]_Book1" xfId="102"/>
    <cellStyle name="貨幣_Book1" xfId="103"/>
    <cellStyle name="通貨 [0.00]_List-dwgwg" xfId="104"/>
    <cellStyle name="通貨_List-dwgis"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xdr:row>
      <xdr:rowOff>0</xdr:rowOff>
    </xdr:from>
    <xdr:to>
      <xdr:col>10</xdr:col>
      <xdr:colOff>152400</xdr:colOff>
      <xdr:row>10</xdr:row>
      <xdr:rowOff>0</xdr:rowOff>
    </xdr:to>
    <xdr:sp>
      <xdr:nvSpPr>
        <xdr:cNvPr id="1" name="Rectangle 1"/>
        <xdr:cNvSpPr>
          <a:spLocks/>
        </xdr:cNvSpPr>
      </xdr:nvSpPr>
      <xdr:spPr>
        <a:xfrm>
          <a:off x="4733925" y="238125"/>
          <a:ext cx="3248025" cy="2143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solidFill>
                <a:srgbClr val="000000"/>
              </a:solidFill>
            </a:rPr>
            <a:t>Người ra đề: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300" b="0" i="0" u="none" baseline="0">
              <a:solidFill>
                <a:srgbClr val="000000"/>
              </a:solidFill>
            </a:rPr>
            <a:t> </a:t>
          </a:r>
          <a:r>
            <a:rPr lang="en-US" cap="none" sz="1100" b="1" i="0" u="none" baseline="0">
              <a:solidFill>
                <a:srgbClr val="000000"/>
              </a:solidFill>
            </a:rPr>
            <a:t>ThS. Lưu</a:t>
          </a:r>
          <a:r>
            <a:rPr lang="en-US" cap="none" sz="1100" b="1" i="0" u="none" baseline="0">
              <a:solidFill>
                <a:srgbClr val="000000"/>
              </a:solidFill>
            </a:rPr>
            <a:t> Chí Danh
</a:t>
          </a:r>
          <a:r>
            <a:rPr lang="en-US" cap="none" sz="1100" b="1" i="0" u="none" baseline="0">
              <a:solidFill>
                <a:srgbClr val="000000"/>
              </a:solidFill>
            </a:rPr>
            <a:t>
</a:t>
          </a:r>
          <a:r>
            <a:rPr lang="en-US" cap="none" sz="1100" b="1" i="0" u="none" baseline="0">
              <a:solidFill>
                <a:srgbClr val="000000"/>
              </a:solidFill>
            </a:rPr>
            <a:t>
</a:t>
          </a:r>
          <a:r>
            <a:rPr lang="en-US" cap="none" sz="1100" b="1" i="0" u="sng" baseline="0">
              <a:solidFill>
                <a:srgbClr val="000000"/>
              </a:solidFill>
            </a:rPr>
            <a:t>Trưởng bộ môn</a:t>
          </a:r>
          <a:r>
            <a:rPr lang="en-US" cap="none" sz="1100" b="1" i="0" u="sng" baseline="0">
              <a:solidFill>
                <a:srgbClr val="000000"/>
              </a:solidFill>
            </a:rPr>
            <a:t> </a:t>
          </a:r>
          <a:r>
            <a:rPr lang="en-US" cap="none" sz="1100" b="1" i="0" u="sng" baseline="0">
              <a:solidFill>
                <a:srgbClr val="000000"/>
              </a:solidFill>
            </a:rPr>
            <a:t>duyệt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ThS. Nguyễn Thị Thu Vân</a:t>
          </a:r>
        </a:p>
      </xdr:txBody>
    </xdr:sp>
    <xdr:clientData/>
  </xdr:twoCellAnchor>
  <xdr:twoCellAnchor>
    <xdr:from>
      <xdr:col>7</xdr:col>
      <xdr:colOff>295275</xdr:colOff>
      <xdr:row>5</xdr:row>
      <xdr:rowOff>123825</xdr:rowOff>
    </xdr:from>
    <xdr:to>
      <xdr:col>10</xdr:col>
      <xdr:colOff>152400</xdr:colOff>
      <xdr:row>5</xdr:row>
      <xdr:rowOff>123825</xdr:rowOff>
    </xdr:to>
    <xdr:sp>
      <xdr:nvSpPr>
        <xdr:cNvPr id="2" name="Straight Connector 2"/>
        <xdr:cNvSpPr>
          <a:spLocks/>
        </xdr:cNvSpPr>
      </xdr:nvSpPr>
      <xdr:spPr>
        <a:xfrm>
          <a:off x="4733925" y="1314450"/>
          <a:ext cx="32480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2:J19"/>
  <sheetViews>
    <sheetView showGridLines="0" tabSelected="1" zoomScalePageLayoutView="0" workbookViewId="0" topLeftCell="A1">
      <selection activeCell="A6" sqref="A6"/>
    </sheetView>
  </sheetViews>
  <sheetFormatPr defaultColWidth="9.140625" defaultRowHeight="12.75"/>
  <cols>
    <col min="1" max="1" width="11.7109375" style="60" customWidth="1"/>
    <col min="2" max="8" width="9.140625" style="60" customWidth="1"/>
    <col min="9" max="9" width="23.421875" style="60" customWidth="1"/>
    <col min="10" max="10" width="18.28125" style="60" customWidth="1"/>
    <col min="11" max="16384" width="9.140625" style="60" customWidth="1"/>
  </cols>
  <sheetData>
    <row r="2" ht="18.75">
      <c r="A2" s="59" t="s">
        <v>1012</v>
      </c>
    </row>
    <row r="3" ht="18.75">
      <c r="A3" s="59" t="s">
        <v>1016</v>
      </c>
    </row>
    <row r="4" spans="1:7" ht="18.75">
      <c r="A4" s="61" t="s">
        <v>1370</v>
      </c>
      <c r="B4" s="59"/>
      <c r="C4" s="59"/>
      <c r="D4" s="59"/>
      <c r="E4" s="59"/>
      <c r="F4" s="59"/>
      <c r="G4" s="59"/>
    </row>
    <row r="5" ht="18.75">
      <c r="A5" s="62" t="s">
        <v>1371</v>
      </c>
    </row>
    <row r="6" spans="1:6" ht="18.75">
      <c r="A6" s="61" t="s">
        <v>1373</v>
      </c>
      <c r="B6" s="59"/>
      <c r="C6" s="59"/>
      <c r="D6" s="59"/>
      <c r="E6" s="59"/>
      <c r="F6" s="59"/>
    </row>
    <row r="7" ht="18.75">
      <c r="A7" s="142" t="s">
        <v>1305</v>
      </c>
    </row>
    <row r="8" spans="1:8" ht="18.75">
      <c r="A8" s="142" t="s">
        <v>1306</v>
      </c>
      <c r="B8" s="63"/>
      <c r="C8" s="63"/>
      <c r="D8" s="63"/>
      <c r="E8" s="63"/>
      <c r="F8" s="63"/>
      <c r="G8" s="63"/>
      <c r="H8" s="63"/>
    </row>
    <row r="9" ht="18.75">
      <c r="A9" s="138" t="s">
        <v>1300</v>
      </c>
    </row>
    <row r="10" ht="18.75">
      <c r="A10" s="64"/>
    </row>
    <row r="11" spans="1:10" ht="57.75" customHeight="1">
      <c r="A11" s="202" t="s">
        <v>1307</v>
      </c>
      <c r="B11" s="202"/>
      <c r="C11" s="202"/>
      <c r="D11" s="202"/>
      <c r="E11" s="202"/>
      <c r="F11" s="202"/>
      <c r="G11" s="202"/>
      <c r="H11" s="202"/>
      <c r="I11" s="202"/>
      <c r="J11" s="202"/>
    </row>
    <row r="12" ht="18.75">
      <c r="J12" s="65"/>
    </row>
    <row r="13" spans="1:10" ht="18.75">
      <c r="A13" s="71" t="s">
        <v>1013</v>
      </c>
      <c r="B13" s="203" t="s">
        <v>1301</v>
      </c>
      <c r="C13" s="204"/>
      <c r="D13" s="204"/>
      <c r="E13" s="204"/>
      <c r="F13" s="204"/>
      <c r="G13" s="204"/>
      <c r="H13" s="204"/>
      <c r="I13" s="205"/>
      <c r="J13" s="72" t="s">
        <v>1303</v>
      </c>
    </row>
    <row r="14" spans="1:10" ht="18.75">
      <c r="A14" s="71" t="s">
        <v>1014</v>
      </c>
      <c r="B14" s="203" t="s">
        <v>1302</v>
      </c>
      <c r="C14" s="204"/>
      <c r="D14" s="204"/>
      <c r="E14" s="204"/>
      <c r="F14" s="204"/>
      <c r="G14" s="204"/>
      <c r="H14" s="204"/>
      <c r="I14" s="205"/>
      <c r="J14" s="72" t="s">
        <v>1304</v>
      </c>
    </row>
    <row r="15" spans="1:10" ht="18.75">
      <c r="A15" s="71" t="s">
        <v>1070</v>
      </c>
      <c r="B15" s="203" t="s">
        <v>1310</v>
      </c>
      <c r="C15" s="204"/>
      <c r="D15" s="204"/>
      <c r="E15" s="204"/>
      <c r="F15" s="204"/>
      <c r="G15" s="204"/>
      <c r="H15" s="204"/>
      <c r="I15" s="205"/>
      <c r="J15" s="72" t="s">
        <v>1303</v>
      </c>
    </row>
    <row r="16" ht="18.75">
      <c r="A16" s="143" t="s">
        <v>1308</v>
      </c>
    </row>
    <row r="17" ht="18.75">
      <c r="A17" s="144" t="s">
        <v>1309</v>
      </c>
    </row>
    <row r="19" ht="18.75">
      <c r="F19" s="66" t="s">
        <v>1015</v>
      </c>
    </row>
  </sheetData>
  <sheetProtection/>
  <mergeCells count="4">
    <mergeCell ref="A11:J11"/>
    <mergeCell ref="B13:I13"/>
    <mergeCell ref="B15:I15"/>
    <mergeCell ref="B14:I14"/>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D48"/>
  <sheetViews>
    <sheetView zoomScalePageLayoutView="0" workbookViewId="0" topLeftCell="A1">
      <selection activeCell="A7" sqref="A7"/>
    </sheetView>
  </sheetViews>
  <sheetFormatPr defaultColWidth="9.140625" defaultRowHeight="12.75"/>
  <cols>
    <col min="1" max="1" width="39.8515625" style="147" customWidth="1"/>
    <col min="2" max="2" width="63.57421875" style="148" customWidth="1"/>
    <col min="3" max="3" width="14.8515625" style="149" customWidth="1"/>
    <col min="4" max="16384" width="9.140625" style="147" customWidth="1"/>
  </cols>
  <sheetData>
    <row r="1" ht="15.75">
      <c r="A1" s="147" t="s">
        <v>1012</v>
      </c>
    </row>
    <row r="2" ht="15.75">
      <c r="A2" s="150" t="s">
        <v>1016</v>
      </c>
    </row>
    <row r="4" spans="1:3" ht="15.75">
      <c r="A4" s="151" t="s">
        <v>1372</v>
      </c>
      <c r="B4" s="152"/>
      <c r="C4" s="153"/>
    </row>
    <row r="5" spans="1:3" ht="15.75">
      <c r="A5" s="154" t="s">
        <v>1311</v>
      </c>
      <c r="B5" s="152"/>
      <c r="C5" s="153"/>
    </row>
    <row r="6" spans="1:3" ht="15.75">
      <c r="A6" s="155" t="s">
        <v>1321</v>
      </c>
      <c r="B6" s="152"/>
      <c r="C6" s="153"/>
    </row>
    <row r="7" spans="1:3" ht="15.75">
      <c r="A7" s="154" t="s">
        <v>1373</v>
      </c>
      <c r="B7" s="152"/>
      <c r="C7" s="153"/>
    </row>
    <row r="8" spans="1:3" ht="16.5" thickBot="1">
      <c r="A8" s="156"/>
      <c r="B8" s="157"/>
      <c r="C8" s="153"/>
    </row>
    <row r="9" spans="1:3" ht="15.75">
      <c r="A9" s="154"/>
      <c r="B9" s="158"/>
      <c r="C9" s="153"/>
    </row>
    <row r="10" spans="1:3" ht="15.75">
      <c r="A10" s="159" t="s">
        <v>1312</v>
      </c>
      <c r="B10" s="158"/>
      <c r="C10" s="153"/>
    </row>
    <row r="11" spans="1:3" ht="15.75">
      <c r="A11" s="159" t="s">
        <v>1313</v>
      </c>
      <c r="B11" s="158"/>
      <c r="C11" s="153"/>
    </row>
    <row r="12" spans="1:3" ht="15.75">
      <c r="A12" s="154"/>
      <c r="B12" s="158"/>
      <c r="C12" s="153"/>
    </row>
    <row r="13" spans="1:3" s="168" customFormat="1" ht="24" customHeight="1">
      <c r="A13" s="213" t="s">
        <v>1344</v>
      </c>
      <c r="B13" s="213"/>
      <c r="C13" s="213"/>
    </row>
    <row r="14" spans="1:3" s="169" customFormat="1" ht="15.75">
      <c r="A14" s="160" t="s">
        <v>1314</v>
      </c>
      <c r="B14" s="160" t="s">
        <v>293</v>
      </c>
      <c r="C14" s="161" t="s">
        <v>1315</v>
      </c>
    </row>
    <row r="15" spans="1:4" ht="15.75">
      <c r="A15" s="162" t="s">
        <v>1345</v>
      </c>
      <c r="B15" s="163" t="s">
        <v>1359</v>
      </c>
      <c r="C15" s="164">
        <v>0.5</v>
      </c>
      <c r="D15" s="170"/>
    </row>
    <row r="16" spans="1:3" ht="24" customHeight="1">
      <c r="A16" s="162" t="s">
        <v>1347</v>
      </c>
      <c r="B16" s="163" t="s">
        <v>1358</v>
      </c>
      <c r="C16" s="214">
        <v>0.75</v>
      </c>
    </row>
    <row r="17" spans="1:3" ht="63">
      <c r="A17" s="162" t="s">
        <v>1348</v>
      </c>
      <c r="B17" s="163" t="s">
        <v>1360</v>
      </c>
      <c r="C17" s="214"/>
    </row>
    <row r="18" spans="1:3" ht="23.25" customHeight="1">
      <c r="A18" s="162" t="s">
        <v>1349</v>
      </c>
      <c r="B18" s="163" t="s">
        <v>1361</v>
      </c>
      <c r="C18" s="214"/>
    </row>
    <row r="19" spans="1:3" ht="33" customHeight="1">
      <c r="A19" s="162" t="s">
        <v>1350</v>
      </c>
      <c r="B19" s="165" t="s">
        <v>1362</v>
      </c>
      <c r="C19" s="214">
        <v>0.5</v>
      </c>
    </row>
    <row r="20" spans="1:3" ht="22.5" customHeight="1">
      <c r="A20" s="162" t="s">
        <v>1351</v>
      </c>
      <c r="B20" s="165" t="s">
        <v>1363</v>
      </c>
      <c r="C20" s="214"/>
    </row>
    <row r="21" spans="1:3" ht="33.75" customHeight="1">
      <c r="A21" s="162" t="s">
        <v>1352</v>
      </c>
      <c r="B21" s="165" t="s">
        <v>1364</v>
      </c>
      <c r="C21" s="164">
        <v>0.25</v>
      </c>
    </row>
    <row r="22" spans="1:3" ht="63">
      <c r="A22" s="162" t="s">
        <v>1316</v>
      </c>
      <c r="B22" s="163" t="s">
        <v>1365</v>
      </c>
      <c r="C22" s="164">
        <v>0.75</v>
      </c>
    </row>
    <row r="23" spans="1:3" ht="35.25" customHeight="1">
      <c r="A23" s="162" t="s">
        <v>1317</v>
      </c>
      <c r="B23" s="163"/>
      <c r="C23" s="164">
        <v>0.25</v>
      </c>
    </row>
    <row r="24" spans="1:3" ht="15.75">
      <c r="A24" s="164"/>
      <c r="B24" s="166" t="s">
        <v>1318</v>
      </c>
      <c r="C24" s="167">
        <f>SUM(C15:C23)</f>
        <v>3</v>
      </c>
    </row>
    <row r="25" spans="1:3" ht="15.75">
      <c r="A25" s="171"/>
      <c r="B25" s="172"/>
      <c r="C25" s="173"/>
    </row>
    <row r="26" spans="1:3" ht="15.75">
      <c r="A26" s="206" t="s">
        <v>1333</v>
      </c>
      <c r="B26" s="206"/>
      <c r="C26" s="206"/>
    </row>
    <row r="27" spans="1:3" ht="15.75">
      <c r="A27" s="176" t="s">
        <v>1314</v>
      </c>
      <c r="B27" s="160" t="s">
        <v>293</v>
      </c>
      <c r="C27" s="177" t="s">
        <v>1315</v>
      </c>
    </row>
    <row r="28" spans="1:3" ht="15.75">
      <c r="A28" s="178" t="s">
        <v>1319</v>
      </c>
      <c r="B28" s="165" t="s">
        <v>1354</v>
      </c>
      <c r="C28" s="207">
        <v>0.5</v>
      </c>
    </row>
    <row r="29" spans="1:3" ht="15.75">
      <c r="A29" s="162" t="s">
        <v>1322</v>
      </c>
      <c r="B29" s="165" t="s">
        <v>1320</v>
      </c>
      <c r="C29" s="208"/>
    </row>
    <row r="30" spans="1:3" ht="31.5">
      <c r="A30" s="162" t="s">
        <v>1323</v>
      </c>
      <c r="B30" s="165" t="s">
        <v>1324</v>
      </c>
      <c r="C30" s="209">
        <v>0.75</v>
      </c>
    </row>
    <row r="31" spans="1:3" ht="47.25">
      <c r="A31" s="162" t="s">
        <v>1325</v>
      </c>
      <c r="B31" s="165" t="s">
        <v>1326</v>
      </c>
      <c r="C31" s="210"/>
    </row>
    <row r="32" spans="1:3" ht="37.5" customHeight="1">
      <c r="A32" s="162" t="s">
        <v>1353</v>
      </c>
      <c r="B32" s="162" t="s">
        <v>1366</v>
      </c>
      <c r="C32" s="179">
        <v>0.5</v>
      </c>
    </row>
    <row r="33" spans="1:3" ht="49.5" customHeight="1">
      <c r="A33" s="162" t="s">
        <v>1327</v>
      </c>
      <c r="B33" s="180" t="s">
        <v>1367</v>
      </c>
      <c r="C33" s="181">
        <v>1</v>
      </c>
    </row>
    <row r="34" spans="1:3" ht="15.75">
      <c r="A34" s="162" t="s">
        <v>1328</v>
      </c>
      <c r="B34" s="182" t="s">
        <v>1329</v>
      </c>
      <c r="C34" s="211">
        <v>0.5</v>
      </c>
    </row>
    <row r="35" spans="1:3" ht="15.75">
      <c r="A35" s="162" t="s">
        <v>1330</v>
      </c>
      <c r="B35" s="182" t="s">
        <v>1331</v>
      </c>
      <c r="C35" s="212"/>
    </row>
    <row r="36" spans="1:3" ht="31.5">
      <c r="A36" s="162" t="s">
        <v>1355</v>
      </c>
      <c r="B36" s="182" t="s">
        <v>1368</v>
      </c>
      <c r="C36" s="211">
        <v>0.5</v>
      </c>
    </row>
    <row r="37" spans="1:3" ht="21" customHeight="1">
      <c r="A37" s="162" t="s">
        <v>1356</v>
      </c>
      <c r="B37" s="182" t="s">
        <v>1332</v>
      </c>
      <c r="C37" s="212"/>
    </row>
    <row r="38" spans="1:3" ht="31.5">
      <c r="A38" s="162" t="s">
        <v>1317</v>
      </c>
      <c r="B38" s="182"/>
      <c r="C38" s="183">
        <v>0.25</v>
      </c>
    </row>
    <row r="39" spans="1:3" ht="15.75">
      <c r="A39" s="162"/>
      <c r="B39" s="184" t="s">
        <v>1318</v>
      </c>
      <c r="C39" s="167">
        <f>SUM(C28:C38)</f>
        <v>4</v>
      </c>
    </row>
    <row r="41" spans="1:3" ht="15.75">
      <c r="A41" s="150" t="s">
        <v>1334</v>
      </c>
      <c r="C41" s="174"/>
    </row>
    <row r="42" spans="1:3" ht="15.75">
      <c r="A42" s="160" t="s">
        <v>1314</v>
      </c>
      <c r="B42" s="160" t="s">
        <v>293</v>
      </c>
      <c r="C42" s="161" t="s">
        <v>1315</v>
      </c>
    </row>
    <row r="43" spans="1:3" ht="47.25">
      <c r="A43" s="162" t="s">
        <v>1335</v>
      </c>
      <c r="B43" s="185" t="s">
        <v>1369</v>
      </c>
      <c r="C43" s="175">
        <v>1.5</v>
      </c>
    </row>
    <row r="44" spans="1:3" ht="15.75">
      <c r="A44" s="186" t="s">
        <v>1336</v>
      </c>
      <c r="B44" s="185" t="s">
        <v>1337</v>
      </c>
      <c r="C44" s="175">
        <v>0.5</v>
      </c>
    </row>
    <row r="45" spans="1:3" ht="15.75">
      <c r="A45" s="186" t="s">
        <v>1338</v>
      </c>
      <c r="B45" s="187" t="s">
        <v>1339</v>
      </c>
      <c r="C45" s="175">
        <v>0.25</v>
      </c>
    </row>
    <row r="46" spans="1:3" ht="31.5">
      <c r="A46" s="186" t="s">
        <v>1340</v>
      </c>
      <c r="B46" s="187" t="s">
        <v>1341</v>
      </c>
      <c r="C46" s="175">
        <v>0.5</v>
      </c>
    </row>
    <row r="47" spans="1:3" ht="15.75">
      <c r="A47" s="188" t="s">
        <v>1342</v>
      </c>
      <c r="B47" s="189" t="s">
        <v>1343</v>
      </c>
      <c r="C47" s="190">
        <v>0.25</v>
      </c>
    </row>
    <row r="48" spans="1:3" ht="15.75">
      <c r="A48" s="164"/>
      <c r="B48" s="166" t="s">
        <v>1318</v>
      </c>
      <c r="C48" s="167">
        <f>SUM(C43:C47)</f>
        <v>3</v>
      </c>
    </row>
  </sheetData>
  <sheetProtection/>
  <mergeCells count="8">
    <mergeCell ref="A26:C26"/>
    <mergeCell ref="C28:C29"/>
    <mergeCell ref="C30:C31"/>
    <mergeCell ref="C34:C35"/>
    <mergeCell ref="C36:C37"/>
    <mergeCell ref="A13:C13"/>
    <mergeCell ref="C16:C18"/>
    <mergeCell ref="C19:C2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2060"/>
  </sheetPr>
  <dimension ref="A1:F20"/>
  <sheetViews>
    <sheetView zoomScalePageLayoutView="0" workbookViewId="0" topLeftCell="A1">
      <selection activeCell="D6" sqref="D6"/>
    </sheetView>
  </sheetViews>
  <sheetFormatPr defaultColWidth="9.140625" defaultRowHeight="12.75"/>
  <cols>
    <col min="1" max="1" width="21.28125" style="0" customWidth="1"/>
    <col min="2" max="2" width="57.8515625" style="0" customWidth="1"/>
    <col min="3" max="3" width="12.8515625" style="0" customWidth="1"/>
    <col min="4" max="4" width="12.140625" style="0" customWidth="1"/>
    <col min="5" max="5" width="18.140625" style="0" customWidth="1"/>
    <col min="6" max="6" width="17.7109375" style="0" bestFit="1" customWidth="1"/>
    <col min="7" max="7" width="22.00390625" style="0" bestFit="1" customWidth="1"/>
  </cols>
  <sheetData>
    <row r="1" spans="1:6" ht="25.5" customHeight="1">
      <c r="A1" s="215" t="s">
        <v>856</v>
      </c>
      <c r="B1" s="215"/>
      <c r="F1" s="22"/>
    </row>
    <row r="2" ht="14.25">
      <c r="F2" s="22"/>
    </row>
    <row r="3" ht="14.25">
      <c r="F3" s="22"/>
    </row>
    <row r="4" ht="14.25">
      <c r="F4" s="22"/>
    </row>
    <row r="5" spans="1:2" ht="12.75">
      <c r="A5" s="23" t="s">
        <v>293</v>
      </c>
      <c r="B5" s="23" t="s">
        <v>857</v>
      </c>
    </row>
    <row r="6" spans="1:2" ht="12.75">
      <c r="A6" s="24" t="s">
        <v>858</v>
      </c>
      <c r="B6" s="25" t="s">
        <v>1017</v>
      </c>
    </row>
    <row r="7" spans="1:2" ht="12.75">
      <c r="A7" s="24" t="s">
        <v>517</v>
      </c>
      <c r="B7" s="25" t="s">
        <v>1018</v>
      </c>
    </row>
    <row r="8" spans="1:2" ht="12.75">
      <c r="A8" s="24" t="s">
        <v>859</v>
      </c>
      <c r="B8" s="68" t="s">
        <v>1019</v>
      </c>
    </row>
    <row r="9" spans="1:2" ht="12.75">
      <c r="A9" s="24" t="s">
        <v>860</v>
      </c>
      <c r="B9" s="25" t="s">
        <v>1020</v>
      </c>
    </row>
    <row r="10" spans="1:2" ht="12.75">
      <c r="A10" s="24" t="s">
        <v>861</v>
      </c>
      <c r="B10" s="25" t="s">
        <v>1021</v>
      </c>
    </row>
    <row r="11" spans="1:2" ht="12.75">
      <c r="A11" s="24" t="s">
        <v>862</v>
      </c>
      <c r="B11" s="25" t="s">
        <v>1022</v>
      </c>
    </row>
    <row r="12" spans="1:2" ht="12.75">
      <c r="A12" s="24" t="s">
        <v>1010</v>
      </c>
      <c r="B12" s="25" t="s">
        <v>1023</v>
      </c>
    </row>
    <row r="13" spans="1:2" ht="12.75">
      <c r="A13" s="69" t="s">
        <v>1024</v>
      </c>
      <c r="B13" s="70"/>
    </row>
    <row r="14" spans="1:2" ht="12.75">
      <c r="A14" s="69"/>
      <c r="B14" s="70"/>
    </row>
    <row r="15" spans="1:2" ht="12.75">
      <c r="A15" s="69"/>
      <c r="B15" s="70"/>
    </row>
    <row r="16" spans="1:2" ht="12.75">
      <c r="A16" s="26"/>
      <c r="B16" s="26"/>
    </row>
    <row r="17" spans="1:2" ht="12.75">
      <c r="A17" s="23" t="s">
        <v>863</v>
      </c>
      <c r="B17" s="27">
        <v>2020</v>
      </c>
    </row>
    <row r="18" spans="1:2" ht="16.5" customHeight="1">
      <c r="A18" s="28" t="s">
        <v>864</v>
      </c>
      <c r="B18" s="29"/>
    </row>
    <row r="19" spans="1:2" ht="12.75">
      <c r="A19" s="30" t="s">
        <v>865</v>
      </c>
      <c r="B19" s="56" t="s">
        <v>1076</v>
      </c>
    </row>
    <row r="20" spans="1:2" ht="12.75">
      <c r="A20" s="30" t="s">
        <v>866</v>
      </c>
      <c r="B20" s="56" t="s">
        <v>1077</v>
      </c>
    </row>
  </sheetData>
  <sheetProtection/>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N332"/>
  <sheetViews>
    <sheetView showGridLines="0" zoomScale="85" zoomScaleNormal="85" zoomScalePageLayoutView="0" workbookViewId="0" topLeftCell="A307">
      <selection activeCell="H4" sqref="H4:H331"/>
    </sheetView>
  </sheetViews>
  <sheetFormatPr defaultColWidth="11.421875" defaultRowHeight="12.75"/>
  <cols>
    <col min="1" max="1" width="10.140625" style="67" bestFit="1" customWidth="1"/>
    <col min="2" max="2" width="9.7109375" style="67" customWidth="1"/>
    <col min="3" max="5" width="12.28125" style="98" customWidth="1"/>
    <col min="6" max="6" width="11.57421875" style="98" customWidth="1"/>
    <col min="7" max="8" width="36.8515625" style="67" customWidth="1"/>
    <col min="9" max="9" width="11.7109375" style="96" bestFit="1" customWidth="1"/>
    <col min="10" max="10" width="10.28125" style="96" customWidth="1"/>
    <col min="11" max="11" width="10.28125" style="97" customWidth="1"/>
    <col min="12" max="12" width="14.00390625" style="97" customWidth="1"/>
    <col min="13" max="13" width="31.00390625" style="67" customWidth="1"/>
    <col min="14" max="14" width="48.28125" style="67" bestFit="1" customWidth="1"/>
    <col min="15" max="16384" width="11.421875" style="67" customWidth="1"/>
  </cols>
  <sheetData>
    <row r="1" spans="1:13" ht="25.5">
      <c r="A1" s="217" t="s">
        <v>1026</v>
      </c>
      <c r="B1" s="217"/>
      <c r="C1" s="217"/>
      <c r="D1" s="217"/>
      <c r="E1" s="217"/>
      <c r="F1" s="217"/>
      <c r="G1" s="217"/>
      <c r="H1" s="217"/>
      <c r="I1" s="217"/>
      <c r="J1" s="217"/>
      <c r="K1" s="217"/>
      <c r="L1" s="217"/>
      <c r="M1" s="217"/>
    </row>
    <row r="3" spans="3:12" ht="12.75">
      <c r="C3" s="67"/>
      <c r="D3" s="67"/>
      <c r="E3" s="67"/>
      <c r="F3" s="67"/>
      <c r="I3" s="216" t="s">
        <v>104</v>
      </c>
      <c r="J3" s="216"/>
      <c r="K3" s="41">
        <f>SUM(K5:K65536)</f>
        <v>380188</v>
      </c>
      <c r="L3" s="41">
        <f>SUM(L5:L65536)</f>
        <v>14447662112.14814</v>
      </c>
    </row>
    <row r="4" spans="1:14" s="75" customFormat="1" ht="74.25" customHeight="1">
      <c r="A4" s="132" t="s">
        <v>105</v>
      </c>
      <c r="B4" s="132" t="s">
        <v>106</v>
      </c>
      <c r="C4" s="132" t="s">
        <v>654</v>
      </c>
      <c r="D4" s="133" t="s">
        <v>653</v>
      </c>
      <c r="E4" s="132" t="s">
        <v>659</v>
      </c>
      <c r="F4" s="132" t="s">
        <v>107</v>
      </c>
      <c r="G4" s="132" t="s">
        <v>655</v>
      </c>
      <c r="H4" s="132" t="s">
        <v>108</v>
      </c>
      <c r="I4" s="132" t="s">
        <v>109</v>
      </c>
      <c r="J4" s="132" t="s">
        <v>110</v>
      </c>
      <c r="K4" s="132" t="s">
        <v>111</v>
      </c>
      <c r="L4" s="132" t="s">
        <v>112</v>
      </c>
      <c r="M4" s="132" t="s">
        <v>184</v>
      </c>
      <c r="N4" s="132" t="s">
        <v>185</v>
      </c>
    </row>
    <row r="5" spans="1:14" ht="12.75">
      <c r="A5" s="76" t="str">
        <f>F5</f>
        <v>01/10/2020</v>
      </c>
      <c r="B5" s="77" t="s">
        <v>186</v>
      </c>
      <c r="C5" s="78"/>
      <c r="D5" s="77" t="s">
        <v>527</v>
      </c>
      <c r="E5" s="77" t="s">
        <v>756</v>
      </c>
      <c r="F5" s="79" t="s">
        <v>1027</v>
      </c>
      <c r="G5" s="77" t="s">
        <v>187</v>
      </c>
      <c r="H5" s="80" t="s">
        <v>1078</v>
      </c>
      <c r="I5" s="81" t="s">
        <v>371</v>
      </c>
      <c r="J5" s="81" t="s">
        <v>374</v>
      </c>
      <c r="K5" s="82"/>
      <c r="L5" s="82">
        <v>25000000</v>
      </c>
      <c r="M5" s="80" t="str">
        <f>VLOOKUP(I5,SDDK!$C$6:$D$200,2,0)</f>
        <v>Tiền mặt tại quỹ, ngân phiếu (VNĐ)</v>
      </c>
      <c r="N5" s="80" t="str">
        <f>VLOOKUP(J5,SDDK!$C$6:$D$200,2,0)</f>
        <v>Tiền gửi ngân hàng (VNĐ)</v>
      </c>
    </row>
    <row r="6" spans="1:14" ht="12.75">
      <c r="A6" s="76" t="str">
        <f aca="true" t="shared" si="0" ref="A6:A69">F6</f>
        <v>01/10/2020</v>
      </c>
      <c r="B6" s="77" t="s">
        <v>188</v>
      </c>
      <c r="C6" s="78"/>
      <c r="D6" s="78"/>
      <c r="E6" s="77"/>
      <c r="F6" s="79" t="s">
        <v>1027</v>
      </c>
      <c r="G6" s="77" t="s">
        <v>189</v>
      </c>
      <c r="H6" s="80" t="s">
        <v>1079</v>
      </c>
      <c r="I6" s="81" t="s">
        <v>66</v>
      </c>
      <c r="J6" s="81" t="s">
        <v>371</v>
      </c>
      <c r="K6" s="82"/>
      <c r="L6" s="82">
        <v>2000000</v>
      </c>
      <c r="M6" s="80" t="str">
        <f>VLOOKUP(I6,SDDK!$C$6:$D$200,2,0)</f>
        <v>Chi phí hoạt động tài chính (chi khác)</v>
      </c>
      <c r="N6" s="80" t="str">
        <f>VLOOKUP(J6,SDDK!$C$6:$D$200,2,0)</f>
        <v>Tiền mặt tại quỹ, ngân phiếu (VNĐ)</v>
      </c>
    </row>
    <row r="7" spans="1:14" ht="12.75">
      <c r="A7" s="76" t="str">
        <f t="shared" si="0"/>
        <v>01/10/2020</v>
      </c>
      <c r="B7" s="77" t="s">
        <v>188</v>
      </c>
      <c r="C7" s="78"/>
      <c r="D7" s="78"/>
      <c r="E7" s="77"/>
      <c r="F7" s="79" t="s">
        <v>1027</v>
      </c>
      <c r="G7" s="77" t="s">
        <v>189</v>
      </c>
      <c r="H7" s="80" t="s">
        <v>1080</v>
      </c>
      <c r="I7" s="81" t="s">
        <v>402</v>
      </c>
      <c r="J7" s="81" t="s">
        <v>371</v>
      </c>
      <c r="K7" s="82"/>
      <c r="L7" s="82">
        <f>L6*0.1</f>
        <v>200000</v>
      </c>
      <c r="M7" s="80" t="str">
        <f>VLOOKUP(I7,SDDK!$C$6:$D$200,2,0)</f>
        <v>Thuế GTGT được khấu trừ của hàng hóa, dịch vụ</v>
      </c>
      <c r="N7" s="80" t="str">
        <f>VLOOKUP(J7,SDDK!$C$6:$D$200,2,0)</f>
        <v>Tiền mặt tại quỹ, ngân phiếu (VNĐ)</v>
      </c>
    </row>
    <row r="8" spans="1:14" ht="12.75">
      <c r="A8" s="76" t="str">
        <f t="shared" si="0"/>
        <v>01/10/2020</v>
      </c>
      <c r="B8" s="77" t="s">
        <v>190</v>
      </c>
      <c r="C8" s="78"/>
      <c r="D8" s="78"/>
      <c r="E8" s="77"/>
      <c r="F8" s="79" t="s">
        <v>1027</v>
      </c>
      <c r="G8" s="77" t="s">
        <v>187</v>
      </c>
      <c r="H8" s="80" t="s">
        <v>1081</v>
      </c>
      <c r="I8" s="81" t="s">
        <v>421</v>
      </c>
      <c r="J8" s="81" t="s">
        <v>371</v>
      </c>
      <c r="K8" s="82"/>
      <c r="L8" s="82">
        <v>500000</v>
      </c>
      <c r="M8" s="80" t="str">
        <f>VLOOKUP(I8,SDDK!$C$6:$D$200,2,0)</f>
        <v>Nguyễn Minh Ngân</v>
      </c>
      <c r="N8" s="80" t="str">
        <f>VLOOKUP(J8,SDDK!$C$6:$D$200,2,0)</f>
        <v>Tiền mặt tại quỹ, ngân phiếu (VNĐ)</v>
      </c>
    </row>
    <row r="9" spans="1:14" ht="12.75">
      <c r="A9" s="76" t="str">
        <f t="shared" si="0"/>
        <v>01/10/2020</v>
      </c>
      <c r="B9" s="77" t="s">
        <v>191</v>
      </c>
      <c r="C9" s="78"/>
      <c r="D9" s="78"/>
      <c r="E9" s="77"/>
      <c r="F9" s="79" t="s">
        <v>1027</v>
      </c>
      <c r="G9" s="77" t="s">
        <v>192</v>
      </c>
      <c r="H9" s="80" t="s">
        <v>1082</v>
      </c>
      <c r="I9" s="81" t="s">
        <v>96</v>
      </c>
      <c r="J9" s="81" t="s">
        <v>371</v>
      </c>
      <c r="K9" s="82"/>
      <c r="L9" s="82">
        <v>50000</v>
      </c>
      <c r="M9" s="80" t="str">
        <f>VLOOKUP(I9,SDDK!$C$6:$D$200,2,0)</f>
        <v>Chi phí bằng tiền khác quản lý doanh nghiệp</v>
      </c>
      <c r="N9" s="80" t="str">
        <f>VLOOKUP(J9,SDDK!$C$6:$D$200,2,0)</f>
        <v>Tiền mặt tại quỹ, ngân phiếu (VNĐ)</v>
      </c>
    </row>
    <row r="10" spans="1:14" ht="12.75">
      <c r="A10" s="76" t="str">
        <f t="shared" si="0"/>
        <v>01/10/2020</v>
      </c>
      <c r="B10" s="77" t="s">
        <v>193</v>
      </c>
      <c r="C10" s="78"/>
      <c r="D10" s="78"/>
      <c r="E10" s="77"/>
      <c r="F10" s="79" t="s">
        <v>1027</v>
      </c>
      <c r="G10" s="77" t="s">
        <v>187</v>
      </c>
      <c r="H10" s="80" t="s">
        <v>1083</v>
      </c>
      <c r="I10" s="81" t="s">
        <v>780</v>
      </c>
      <c r="J10" s="81" t="s">
        <v>371</v>
      </c>
      <c r="K10" s="82"/>
      <c r="L10" s="82">
        <v>45620000</v>
      </c>
      <c r="M10" s="80" t="str">
        <f>VLOOKUP(I10,SDDK!$C$6:$D$200,2,0)</f>
        <v>Phải trả công nhân viên</v>
      </c>
      <c r="N10" s="80" t="str">
        <f>VLOOKUP(J10,SDDK!$C$6:$D$200,2,0)</f>
        <v>Tiền mặt tại quỹ, ngân phiếu (VNĐ)</v>
      </c>
    </row>
    <row r="11" spans="1:14" ht="12.75">
      <c r="A11" s="76" t="str">
        <f t="shared" si="0"/>
        <v>02/10/2020</v>
      </c>
      <c r="B11" s="77" t="s">
        <v>194</v>
      </c>
      <c r="C11" s="78"/>
      <c r="D11" s="78"/>
      <c r="E11" s="77"/>
      <c r="F11" s="79" t="s">
        <v>1028</v>
      </c>
      <c r="G11" s="77" t="s">
        <v>187</v>
      </c>
      <c r="H11" s="80" t="s">
        <v>1084</v>
      </c>
      <c r="I11" s="83" t="s">
        <v>376</v>
      </c>
      <c r="J11" s="83" t="s">
        <v>371</v>
      </c>
      <c r="K11" s="82"/>
      <c r="L11" s="82">
        <v>20000000</v>
      </c>
      <c r="M11" s="80" t="str">
        <f>VLOOKUP(I11,SDDK!$C$6:$D$200,2,0)</f>
        <v>Tiền đang chuyển</v>
      </c>
      <c r="N11" s="80" t="str">
        <f>VLOOKUP(J11,SDDK!$C$6:$D$200,2,0)</f>
        <v>Tiền mặt tại quỹ, ngân phiếu (VNĐ)</v>
      </c>
    </row>
    <row r="12" spans="1:14" ht="12.75">
      <c r="A12" s="76" t="str">
        <f t="shared" si="0"/>
        <v>02/10/2020</v>
      </c>
      <c r="B12" s="77" t="s">
        <v>292</v>
      </c>
      <c r="C12" s="78"/>
      <c r="D12" s="77" t="s">
        <v>1029</v>
      </c>
      <c r="E12" s="77" t="s">
        <v>719</v>
      </c>
      <c r="F12" s="79" t="s">
        <v>1028</v>
      </c>
      <c r="G12" s="77" t="s">
        <v>195</v>
      </c>
      <c r="H12" s="80" t="s">
        <v>1085</v>
      </c>
      <c r="I12" s="81" t="s">
        <v>150</v>
      </c>
      <c r="J12" s="83" t="s">
        <v>376</v>
      </c>
      <c r="K12" s="82">
        <v>1000</v>
      </c>
      <c r="L12" s="82">
        <v>20000000</v>
      </c>
      <c r="M12" s="80" t="str">
        <f>VLOOKUP(I12,SDDK!$C$6:$D$200,2,0)</f>
        <v>Tiền ngoại tệ mặt (USD)</v>
      </c>
      <c r="N12" s="80" t="str">
        <f>VLOOKUP(J12,SDDK!$C$6:$D$200,2,0)</f>
        <v>Tiền đang chuyển</v>
      </c>
    </row>
    <row r="13" spans="1:14" ht="12.75">
      <c r="A13" s="76" t="str">
        <f t="shared" si="0"/>
        <v>02/10/2020</v>
      </c>
      <c r="B13" s="77"/>
      <c r="C13" s="77" t="s">
        <v>196</v>
      </c>
      <c r="D13" s="77"/>
      <c r="E13" s="77" t="s">
        <v>660</v>
      </c>
      <c r="F13" s="79" t="s">
        <v>1028</v>
      </c>
      <c r="G13" s="77" t="s">
        <v>197</v>
      </c>
      <c r="H13" s="80" t="s">
        <v>1086</v>
      </c>
      <c r="I13" s="83" t="s">
        <v>423</v>
      </c>
      <c r="J13" s="81" t="s">
        <v>457</v>
      </c>
      <c r="K13" s="82">
        <v>1000</v>
      </c>
      <c r="L13" s="82">
        <f>1000*20200</f>
        <v>20200000</v>
      </c>
      <c r="M13" s="80" t="str">
        <f>VLOOKUP(I13,SDDK!$C$6:$D$200,2,0)</f>
        <v>Sợi thun coton thô</v>
      </c>
      <c r="N13" s="80" t="str">
        <f>VLOOKUP(J13,SDDK!$C$6:$D$200,2,0)</f>
        <v>Phải trả ngắn hạn Công ty LOGITIC</v>
      </c>
    </row>
    <row r="14" spans="1:14" ht="12.75">
      <c r="A14" s="76" t="str">
        <f t="shared" si="0"/>
        <v>02/10/2020</v>
      </c>
      <c r="B14" s="77"/>
      <c r="C14" s="77"/>
      <c r="D14" s="77" t="s">
        <v>528</v>
      </c>
      <c r="E14" s="77" t="s">
        <v>660</v>
      </c>
      <c r="F14" s="79" t="s">
        <v>1028</v>
      </c>
      <c r="G14" s="77"/>
      <c r="H14" s="80" t="s">
        <v>1087</v>
      </c>
      <c r="I14" s="83" t="s">
        <v>423</v>
      </c>
      <c r="J14" s="81" t="s">
        <v>482</v>
      </c>
      <c r="K14" s="82"/>
      <c r="L14" s="82">
        <f>L13*0.05</f>
        <v>1010000</v>
      </c>
      <c r="M14" s="80" t="str">
        <f>VLOOKUP(I14,SDDK!$C$6:$D$200,2,0)</f>
        <v>Sợi thun coton thô</v>
      </c>
      <c r="N14" s="80" t="str">
        <f>VLOOKUP(J14,SDDK!$C$6:$D$200,2,0)</f>
        <v>Thuế xuất nhập khẩu</v>
      </c>
    </row>
    <row r="15" spans="1:14" ht="12.75">
      <c r="A15" s="76" t="str">
        <f t="shared" si="0"/>
        <v>02/10/2020</v>
      </c>
      <c r="B15" s="77"/>
      <c r="C15" s="78"/>
      <c r="D15" s="77" t="s">
        <v>528</v>
      </c>
      <c r="E15" s="77" t="s">
        <v>660</v>
      </c>
      <c r="F15" s="79" t="s">
        <v>1028</v>
      </c>
      <c r="G15" s="77"/>
      <c r="H15" s="80" t="s">
        <v>1088</v>
      </c>
      <c r="I15" s="81" t="s">
        <v>402</v>
      </c>
      <c r="J15" s="81" t="s">
        <v>477</v>
      </c>
      <c r="K15" s="82"/>
      <c r="L15" s="82">
        <f>(L13+L14)*0.1</f>
        <v>2121000</v>
      </c>
      <c r="M15" s="80" t="str">
        <f>VLOOKUP(I15,SDDK!$C$6:$D$200,2,0)</f>
        <v>Thuế GTGT được khấu trừ của hàng hóa, dịch vụ</v>
      </c>
      <c r="N15" s="80" t="str">
        <f>VLOOKUP(J15,SDDK!$C$6:$D$200,2,0)</f>
        <v>Thuế GTGT hàng nhập khẩu</v>
      </c>
    </row>
    <row r="16" spans="1:14" ht="12.75">
      <c r="A16" s="76" t="str">
        <f t="shared" si="0"/>
        <v>02/10/2020</v>
      </c>
      <c r="B16" s="77" t="s">
        <v>198</v>
      </c>
      <c r="C16" s="77"/>
      <c r="D16" s="77"/>
      <c r="E16" s="78" t="s">
        <v>661</v>
      </c>
      <c r="F16" s="79" t="s">
        <v>1028</v>
      </c>
      <c r="G16" s="77" t="s">
        <v>113</v>
      </c>
      <c r="H16" s="80" t="s">
        <v>1089</v>
      </c>
      <c r="I16" s="83" t="s">
        <v>423</v>
      </c>
      <c r="J16" s="81" t="s">
        <v>371</v>
      </c>
      <c r="K16" s="82"/>
      <c r="L16" s="82">
        <v>1000000</v>
      </c>
      <c r="M16" s="80" t="str">
        <f>VLOOKUP(I16,SDDK!$C$6:$D$200,2,0)</f>
        <v>Sợi thun coton thô</v>
      </c>
      <c r="N16" s="80" t="str">
        <f>VLOOKUP(J16,SDDK!$C$6:$D$200,2,0)</f>
        <v>Tiền mặt tại quỹ, ngân phiếu (VNĐ)</v>
      </c>
    </row>
    <row r="17" spans="1:14" ht="12.75">
      <c r="A17" s="76" t="str">
        <f t="shared" si="0"/>
        <v>02/10/2020</v>
      </c>
      <c r="B17" s="77" t="s">
        <v>198</v>
      </c>
      <c r="C17" s="77"/>
      <c r="D17" s="77"/>
      <c r="E17" s="78" t="s">
        <v>661</v>
      </c>
      <c r="F17" s="79" t="s">
        <v>1028</v>
      </c>
      <c r="G17" s="77" t="s">
        <v>113</v>
      </c>
      <c r="H17" s="80" t="s">
        <v>1080</v>
      </c>
      <c r="I17" s="81" t="s">
        <v>402</v>
      </c>
      <c r="J17" s="81" t="s">
        <v>371</v>
      </c>
      <c r="K17" s="82"/>
      <c r="L17" s="82">
        <f>L16*0.1</f>
        <v>100000</v>
      </c>
      <c r="M17" s="80" t="str">
        <f>VLOOKUP(I17,SDDK!$C$6:$D$200,2,0)</f>
        <v>Thuế GTGT được khấu trừ của hàng hóa, dịch vụ</v>
      </c>
      <c r="N17" s="80" t="str">
        <f>VLOOKUP(J17,SDDK!$C$6:$D$200,2,0)</f>
        <v>Tiền mặt tại quỹ, ngân phiếu (VNĐ)</v>
      </c>
    </row>
    <row r="18" spans="1:14" ht="12.75">
      <c r="A18" s="76" t="str">
        <f t="shared" si="0"/>
        <v>03/10/2020</v>
      </c>
      <c r="B18" s="77" t="s">
        <v>199</v>
      </c>
      <c r="C18" s="78"/>
      <c r="D18" s="78"/>
      <c r="E18" s="78" t="s">
        <v>662</v>
      </c>
      <c r="F18" s="79" t="s">
        <v>1030</v>
      </c>
      <c r="G18" s="77" t="s">
        <v>540</v>
      </c>
      <c r="H18" s="80" t="s">
        <v>1090</v>
      </c>
      <c r="I18" s="81" t="s">
        <v>96</v>
      </c>
      <c r="J18" s="81" t="s">
        <v>371</v>
      </c>
      <c r="K18" s="82"/>
      <c r="L18" s="82">
        <v>1200000</v>
      </c>
      <c r="M18" s="80" t="str">
        <f>VLOOKUP(I18,SDDK!$C$6:$D$200,2,0)</f>
        <v>Chi phí bằng tiền khác quản lý doanh nghiệp</v>
      </c>
      <c r="N18" s="80" t="str">
        <f>VLOOKUP(J18,SDDK!$C$6:$D$200,2,0)</f>
        <v>Tiền mặt tại quỹ, ngân phiếu (VNĐ)</v>
      </c>
    </row>
    <row r="19" spans="1:14" ht="12.75">
      <c r="A19" s="76" t="str">
        <f t="shared" si="0"/>
        <v>03/10/2020</v>
      </c>
      <c r="B19" s="77" t="s">
        <v>199</v>
      </c>
      <c r="C19" s="78"/>
      <c r="D19" s="78"/>
      <c r="E19" s="78" t="s">
        <v>662</v>
      </c>
      <c r="F19" s="79" t="s">
        <v>1030</v>
      </c>
      <c r="G19" s="77" t="s">
        <v>540</v>
      </c>
      <c r="H19" s="80" t="s">
        <v>1080</v>
      </c>
      <c r="I19" s="81" t="s">
        <v>402</v>
      </c>
      <c r="J19" s="81" t="s">
        <v>371</v>
      </c>
      <c r="K19" s="82"/>
      <c r="L19" s="82">
        <v>120000</v>
      </c>
      <c r="M19" s="80" t="str">
        <f>VLOOKUP(I19,SDDK!$C$6:$D$200,2,0)</f>
        <v>Thuế GTGT được khấu trừ của hàng hóa, dịch vụ</v>
      </c>
      <c r="N19" s="80" t="str">
        <f>VLOOKUP(J19,SDDK!$C$6:$D$200,2,0)</f>
        <v>Tiền mặt tại quỹ, ngân phiếu (VNĐ)</v>
      </c>
    </row>
    <row r="20" spans="1:14" ht="12.75">
      <c r="A20" s="76" t="str">
        <f t="shared" si="0"/>
        <v>03/10/2020</v>
      </c>
      <c r="B20" s="77" t="s">
        <v>200</v>
      </c>
      <c r="C20" s="78"/>
      <c r="D20" s="78"/>
      <c r="E20" s="78"/>
      <c r="F20" s="79" t="s">
        <v>1030</v>
      </c>
      <c r="G20" s="77" t="s">
        <v>187</v>
      </c>
      <c r="H20" s="80" t="s">
        <v>1091</v>
      </c>
      <c r="I20" s="81" t="s">
        <v>421</v>
      </c>
      <c r="J20" s="81" t="s">
        <v>371</v>
      </c>
      <c r="K20" s="82"/>
      <c r="L20" s="82">
        <v>1000000</v>
      </c>
      <c r="M20" s="80" t="str">
        <f>VLOOKUP(I20,SDDK!$C$6:$D$200,2,0)</f>
        <v>Nguyễn Minh Ngân</v>
      </c>
      <c r="N20" s="80" t="str">
        <f>VLOOKUP(J20,SDDK!$C$6:$D$200,2,0)</f>
        <v>Tiền mặt tại quỹ, ngân phiếu (VNĐ)</v>
      </c>
    </row>
    <row r="21" spans="1:14" ht="12.75">
      <c r="A21" s="76" t="str">
        <f t="shared" si="0"/>
        <v>04/10/2020</v>
      </c>
      <c r="B21" s="77"/>
      <c r="C21" s="77" t="s">
        <v>201</v>
      </c>
      <c r="D21" s="77" t="s">
        <v>530</v>
      </c>
      <c r="E21" s="78" t="s">
        <v>663</v>
      </c>
      <c r="F21" s="79" t="s">
        <v>1031</v>
      </c>
      <c r="G21" s="77" t="s">
        <v>803</v>
      </c>
      <c r="H21" s="80" t="s">
        <v>1092</v>
      </c>
      <c r="I21" s="81" t="s">
        <v>424</v>
      </c>
      <c r="J21" s="81" t="s">
        <v>461</v>
      </c>
      <c r="K21" s="82">
        <v>500</v>
      </c>
      <c r="L21" s="82">
        <f>500*10000</f>
        <v>5000000</v>
      </c>
      <c r="M21" s="80" t="str">
        <f>VLOOKUP(I21,SDDK!$C$6:$D$200,2,0)</f>
        <v>Thuốc nhuộm màu xanh đen C02</v>
      </c>
      <c r="N21" s="80" t="str">
        <f>VLOOKUP(J21,SDDK!$C$6:$D$200,2,0)</f>
        <v>Phải trả ngắn hạn Công ty TNHH An Nam</v>
      </c>
    </row>
    <row r="22" spans="1:14" ht="12.75">
      <c r="A22" s="76" t="str">
        <f t="shared" si="0"/>
        <v>04/10/2020</v>
      </c>
      <c r="B22" s="77"/>
      <c r="C22" s="77"/>
      <c r="D22" s="77" t="s">
        <v>530</v>
      </c>
      <c r="E22" s="78" t="s">
        <v>663</v>
      </c>
      <c r="F22" s="79" t="s">
        <v>1031</v>
      </c>
      <c r="G22" s="77" t="s">
        <v>803</v>
      </c>
      <c r="H22" s="80" t="s">
        <v>1080</v>
      </c>
      <c r="I22" s="81" t="s">
        <v>402</v>
      </c>
      <c r="J22" s="81" t="s">
        <v>461</v>
      </c>
      <c r="K22" s="82"/>
      <c r="L22" s="82">
        <v>500000</v>
      </c>
      <c r="M22" s="80" t="str">
        <f>VLOOKUP(I22,SDDK!$C$6:$D$200,2,0)</f>
        <v>Thuế GTGT được khấu trừ của hàng hóa, dịch vụ</v>
      </c>
      <c r="N22" s="80" t="str">
        <f>VLOOKUP(J22,SDDK!$C$6:$D$200,2,0)</f>
        <v>Phải trả ngắn hạn Công ty TNHH An Nam</v>
      </c>
    </row>
    <row r="23" spans="1:14" ht="12.75">
      <c r="A23" s="76" t="str">
        <f t="shared" si="0"/>
        <v>05/10/2020</v>
      </c>
      <c r="B23" s="77" t="s">
        <v>202</v>
      </c>
      <c r="C23" s="77" t="s">
        <v>203</v>
      </c>
      <c r="D23" s="77" t="s">
        <v>531</v>
      </c>
      <c r="E23" s="78" t="s">
        <v>664</v>
      </c>
      <c r="F23" s="79" t="s">
        <v>1032</v>
      </c>
      <c r="G23" s="77" t="s">
        <v>800</v>
      </c>
      <c r="H23" s="80" t="s">
        <v>1093</v>
      </c>
      <c r="I23" s="81" t="s">
        <v>424</v>
      </c>
      <c r="J23" s="81" t="s">
        <v>371</v>
      </c>
      <c r="K23" s="82">
        <v>300</v>
      </c>
      <c r="L23" s="82">
        <f>300*11000</f>
        <v>3300000</v>
      </c>
      <c r="M23" s="80" t="str">
        <f>VLOOKUP(I23,SDDK!$C$6:$D$200,2,0)</f>
        <v>Thuốc nhuộm màu xanh đen C02</v>
      </c>
      <c r="N23" s="80" t="str">
        <f>VLOOKUP(J23,SDDK!$C$6:$D$200,2,0)</f>
        <v>Tiền mặt tại quỹ, ngân phiếu (VNĐ)</v>
      </c>
    </row>
    <row r="24" spans="1:14" ht="12.75">
      <c r="A24" s="76" t="str">
        <f t="shared" si="0"/>
        <v>05/10/2020</v>
      </c>
      <c r="B24" s="77" t="s">
        <v>202</v>
      </c>
      <c r="C24" s="77"/>
      <c r="D24" s="77" t="s">
        <v>531</v>
      </c>
      <c r="E24" s="78" t="s">
        <v>664</v>
      </c>
      <c r="F24" s="79" t="s">
        <v>1032</v>
      </c>
      <c r="G24" s="77" t="s">
        <v>800</v>
      </c>
      <c r="H24" s="80" t="s">
        <v>1080</v>
      </c>
      <c r="I24" s="81" t="s">
        <v>402</v>
      </c>
      <c r="J24" s="81" t="s">
        <v>371</v>
      </c>
      <c r="K24" s="82"/>
      <c r="L24" s="82">
        <v>330000</v>
      </c>
      <c r="M24" s="80" t="str">
        <f>VLOOKUP(I24,SDDK!$C$6:$D$200,2,0)</f>
        <v>Thuế GTGT được khấu trừ của hàng hóa, dịch vụ</v>
      </c>
      <c r="N24" s="80" t="str">
        <f>VLOOKUP(J24,SDDK!$C$6:$D$200,2,0)</f>
        <v>Tiền mặt tại quỹ, ngân phiếu (VNĐ)</v>
      </c>
    </row>
    <row r="25" spans="1:14" ht="12.75">
      <c r="A25" s="76" t="str">
        <f t="shared" si="0"/>
        <v>05/10/2020</v>
      </c>
      <c r="B25" s="77" t="s">
        <v>204</v>
      </c>
      <c r="C25" s="77" t="s">
        <v>205</v>
      </c>
      <c r="D25" s="77" t="s">
        <v>532</v>
      </c>
      <c r="E25" s="78" t="s">
        <v>665</v>
      </c>
      <c r="F25" s="79" t="s">
        <v>1032</v>
      </c>
      <c r="G25" s="77" t="s">
        <v>114</v>
      </c>
      <c r="H25" s="80" t="s">
        <v>1094</v>
      </c>
      <c r="I25" s="83" t="s">
        <v>427</v>
      </c>
      <c r="J25" s="81" t="s">
        <v>371</v>
      </c>
      <c r="K25" s="82">
        <v>3000</v>
      </c>
      <c r="L25" s="82">
        <f>K25*2500</f>
        <v>7500000</v>
      </c>
      <c r="M25" s="80" t="str">
        <f>VLOOKUP(I25,SDDK!$C$6:$D$200,2,0)</f>
        <v>Ốc vít, bù loong.</v>
      </c>
      <c r="N25" s="80" t="str">
        <f>VLOOKUP(J25,SDDK!$C$6:$D$200,2,0)</f>
        <v>Tiền mặt tại quỹ, ngân phiếu (VNĐ)</v>
      </c>
    </row>
    <row r="26" spans="1:14" ht="12.75">
      <c r="A26" s="76" t="str">
        <f t="shared" si="0"/>
        <v>05/10/2020</v>
      </c>
      <c r="B26" s="77" t="s">
        <v>204</v>
      </c>
      <c r="C26" s="77"/>
      <c r="D26" s="77" t="s">
        <v>532</v>
      </c>
      <c r="E26" s="78" t="s">
        <v>665</v>
      </c>
      <c r="F26" s="79" t="s">
        <v>1032</v>
      </c>
      <c r="G26" s="77" t="s">
        <v>114</v>
      </c>
      <c r="H26" s="80" t="s">
        <v>1080</v>
      </c>
      <c r="I26" s="81" t="s">
        <v>402</v>
      </c>
      <c r="J26" s="81" t="s">
        <v>371</v>
      </c>
      <c r="K26" s="82"/>
      <c r="L26" s="82">
        <f>L25*0.1</f>
        <v>750000</v>
      </c>
      <c r="M26" s="80" t="str">
        <f>VLOOKUP(I26,SDDK!$C$6:$D$200,2,0)</f>
        <v>Thuế GTGT được khấu trừ của hàng hóa, dịch vụ</v>
      </c>
      <c r="N26" s="80" t="str">
        <f>VLOOKUP(J26,SDDK!$C$6:$D$200,2,0)</f>
        <v>Tiền mặt tại quỹ, ngân phiếu (VNĐ)</v>
      </c>
    </row>
    <row r="27" spans="1:14" ht="12.75">
      <c r="A27" s="76" t="str">
        <f t="shared" si="0"/>
        <v>05/10/2020</v>
      </c>
      <c r="B27" s="77" t="s">
        <v>206</v>
      </c>
      <c r="C27" s="78"/>
      <c r="D27" s="78"/>
      <c r="E27" s="78"/>
      <c r="F27" s="79" t="s">
        <v>1032</v>
      </c>
      <c r="G27" s="77" t="s">
        <v>187</v>
      </c>
      <c r="H27" s="80" t="s">
        <v>1095</v>
      </c>
      <c r="I27" s="81" t="s">
        <v>371</v>
      </c>
      <c r="J27" s="81" t="s">
        <v>777</v>
      </c>
      <c r="K27" s="82"/>
      <c r="L27" s="82">
        <v>100000000</v>
      </c>
      <c r="M27" s="80" t="str">
        <f>VLOOKUP(I27,SDDK!$C$6:$D$200,2,0)</f>
        <v>Tiền mặt tại quỹ, ngân phiếu (VNĐ)</v>
      </c>
      <c r="N27" s="80" t="str">
        <f>VLOOKUP(J27,SDDK!$C$6:$D$200,2,0)</f>
        <v>Các khoản đi vay ngắn hạn.</v>
      </c>
    </row>
    <row r="28" spans="1:14" ht="12.75">
      <c r="A28" s="76" t="str">
        <f t="shared" si="0"/>
        <v>05/10/2020</v>
      </c>
      <c r="B28" s="77" t="s">
        <v>207</v>
      </c>
      <c r="C28" s="78"/>
      <c r="D28" s="78"/>
      <c r="E28" s="78"/>
      <c r="F28" s="79" t="s">
        <v>1032</v>
      </c>
      <c r="G28" s="77" t="s">
        <v>187</v>
      </c>
      <c r="H28" s="80" t="s">
        <v>1096</v>
      </c>
      <c r="I28" s="81" t="s">
        <v>371</v>
      </c>
      <c r="J28" s="81" t="s">
        <v>421</v>
      </c>
      <c r="K28" s="82"/>
      <c r="L28" s="82">
        <v>100000</v>
      </c>
      <c r="M28" s="80" t="str">
        <f>VLOOKUP(I28,SDDK!$C$6:$D$200,2,0)</f>
        <v>Tiền mặt tại quỹ, ngân phiếu (VNĐ)</v>
      </c>
      <c r="N28" s="80" t="str">
        <f>VLOOKUP(J28,SDDK!$C$6:$D$200,2,0)</f>
        <v>Nguyễn Minh Ngân</v>
      </c>
    </row>
    <row r="29" spans="1:14" ht="12.75">
      <c r="A29" s="76" t="str">
        <f t="shared" si="0"/>
        <v>06/10/2020</v>
      </c>
      <c r="B29" s="77" t="s">
        <v>208</v>
      </c>
      <c r="C29" s="67"/>
      <c r="D29" s="77" t="s">
        <v>533</v>
      </c>
      <c r="E29" s="78" t="s">
        <v>666</v>
      </c>
      <c r="F29" s="79" t="s">
        <v>1033</v>
      </c>
      <c r="G29" s="77" t="s">
        <v>115</v>
      </c>
      <c r="H29" s="80" t="s">
        <v>1080</v>
      </c>
      <c r="I29" s="81" t="s">
        <v>402</v>
      </c>
      <c r="J29" s="81" t="s">
        <v>371</v>
      </c>
      <c r="K29" s="82"/>
      <c r="L29" s="82">
        <f>L30*0.1</f>
        <v>1250000</v>
      </c>
      <c r="M29" s="80" t="str">
        <f>VLOOKUP(I29,SDDK!$C$6:$D$200,2,0)</f>
        <v>Thuế GTGT được khấu trừ của hàng hóa, dịch vụ</v>
      </c>
      <c r="N29" s="80" t="str">
        <f>VLOOKUP(J29,SDDK!$C$6:$D$200,2,0)</f>
        <v>Tiền mặt tại quỹ, ngân phiếu (VNĐ)</v>
      </c>
    </row>
    <row r="30" spans="1:14" ht="12.75">
      <c r="A30" s="76" t="str">
        <f t="shared" si="0"/>
        <v>06/10/2020</v>
      </c>
      <c r="B30" s="77" t="s">
        <v>208</v>
      </c>
      <c r="C30" s="77" t="s">
        <v>650</v>
      </c>
      <c r="D30" s="77" t="s">
        <v>533</v>
      </c>
      <c r="E30" s="78" t="s">
        <v>666</v>
      </c>
      <c r="F30" s="79" t="s">
        <v>1033</v>
      </c>
      <c r="G30" s="77" t="s">
        <v>115</v>
      </c>
      <c r="H30" s="80" t="s">
        <v>1097</v>
      </c>
      <c r="I30" s="81" t="s">
        <v>763</v>
      </c>
      <c r="J30" s="81" t="s">
        <v>371</v>
      </c>
      <c r="K30" s="82">
        <v>50</v>
      </c>
      <c r="L30" s="82">
        <f>K30*250000</f>
        <v>12500000</v>
      </c>
      <c r="M30" s="80" t="str">
        <f>VLOOKUP(I30,SDDK!$C$6:$D$200,2,0)</f>
        <v>Kéo cắt vải</v>
      </c>
      <c r="N30" s="80" t="str">
        <f>VLOOKUP(J30,SDDK!$C$6:$D$200,2,0)</f>
        <v>Tiền mặt tại quỹ, ngân phiếu (VNĐ)</v>
      </c>
    </row>
    <row r="31" spans="1:14" ht="12.75">
      <c r="A31" s="76" t="str">
        <f t="shared" si="0"/>
        <v>07/10/2020</v>
      </c>
      <c r="B31" s="77" t="s">
        <v>209</v>
      </c>
      <c r="C31" s="78"/>
      <c r="D31" s="78"/>
      <c r="E31" s="78"/>
      <c r="F31" s="79" t="s">
        <v>1034</v>
      </c>
      <c r="G31" s="77" t="s">
        <v>529</v>
      </c>
      <c r="H31" s="80" t="s">
        <v>1098</v>
      </c>
      <c r="I31" s="81" t="s">
        <v>371</v>
      </c>
      <c r="J31" s="81" t="s">
        <v>417</v>
      </c>
      <c r="K31" s="82"/>
      <c r="L31" s="82">
        <v>200000</v>
      </c>
      <c r="M31" s="80" t="str">
        <f>VLOOKUP(I31,SDDK!$C$6:$D$200,2,0)</f>
        <v>Tiền mặt tại quỹ, ngân phiếu (VNĐ)</v>
      </c>
      <c r="N31" s="80" t="str">
        <f>VLOOKUP(J31,SDDK!$C$6:$D$200,2,0)</f>
        <v>Các khoản phải thu khác</v>
      </c>
    </row>
    <row r="32" spans="1:14" ht="12.75">
      <c r="A32" s="76" t="str">
        <f t="shared" si="0"/>
        <v>07/10/2020</v>
      </c>
      <c r="B32" s="77" t="s">
        <v>210</v>
      </c>
      <c r="C32" s="78"/>
      <c r="D32" s="77" t="s">
        <v>534</v>
      </c>
      <c r="E32" s="77" t="s">
        <v>667</v>
      </c>
      <c r="F32" s="79" t="s">
        <v>1034</v>
      </c>
      <c r="G32" s="77" t="s">
        <v>187</v>
      </c>
      <c r="H32" s="80" t="s">
        <v>1099</v>
      </c>
      <c r="I32" s="81" t="s">
        <v>371</v>
      </c>
      <c r="J32" s="81" t="s">
        <v>374</v>
      </c>
      <c r="K32" s="82"/>
      <c r="L32" s="82">
        <v>25000000</v>
      </c>
      <c r="M32" s="80" t="str">
        <f>VLOOKUP(I32,SDDK!$C$6:$D$200,2,0)</f>
        <v>Tiền mặt tại quỹ, ngân phiếu (VNĐ)</v>
      </c>
      <c r="N32" s="80" t="str">
        <f>VLOOKUP(J32,SDDK!$C$6:$D$200,2,0)</f>
        <v>Tiền gửi ngân hàng (VNĐ)</v>
      </c>
    </row>
    <row r="33" spans="1:14" ht="12.75">
      <c r="A33" s="76" t="str">
        <f t="shared" si="0"/>
        <v>08/10/2020</v>
      </c>
      <c r="B33" s="77" t="s">
        <v>211</v>
      </c>
      <c r="C33" s="78"/>
      <c r="D33" s="78"/>
      <c r="E33" s="78"/>
      <c r="F33" s="79" t="s">
        <v>1025</v>
      </c>
      <c r="G33" s="77" t="s">
        <v>254</v>
      </c>
      <c r="H33" s="77" t="s">
        <v>1100</v>
      </c>
      <c r="I33" s="81" t="s">
        <v>371</v>
      </c>
      <c r="J33" s="81" t="s">
        <v>388</v>
      </c>
      <c r="K33" s="82"/>
      <c r="L33" s="82">
        <v>40000000</v>
      </c>
      <c r="M33" s="80" t="str">
        <f>VLOOKUP(I33,SDDK!$C$6:$D$200,2,0)</f>
        <v>Tiền mặt tại quỹ, ngân phiếu (VNĐ)</v>
      </c>
      <c r="N33" s="80" t="str">
        <f>VLOOKUP(J33,SDDK!$C$6:$D$200,2,0)</f>
        <v>Phải thu ngắn hạn Công ty Metro</v>
      </c>
    </row>
    <row r="34" spans="1:14" ht="12.75">
      <c r="A34" s="76" t="str">
        <f t="shared" si="0"/>
        <v>08/10/2020</v>
      </c>
      <c r="B34" s="77" t="s">
        <v>212</v>
      </c>
      <c r="C34" s="78"/>
      <c r="D34" s="77" t="s">
        <v>535</v>
      </c>
      <c r="E34" s="77" t="s">
        <v>668</v>
      </c>
      <c r="F34" s="79" t="s">
        <v>1025</v>
      </c>
      <c r="G34" s="77" t="s">
        <v>187</v>
      </c>
      <c r="H34" s="80" t="s">
        <v>1099</v>
      </c>
      <c r="I34" s="81" t="s">
        <v>371</v>
      </c>
      <c r="J34" s="81" t="s">
        <v>374</v>
      </c>
      <c r="K34" s="82"/>
      <c r="L34" s="82">
        <v>25000000</v>
      </c>
      <c r="M34" s="80" t="str">
        <f>VLOOKUP(I34,SDDK!$C$6:$D$200,2,0)</f>
        <v>Tiền mặt tại quỹ, ngân phiếu (VNĐ)</v>
      </c>
      <c r="N34" s="80" t="str">
        <f>VLOOKUP(J34,SDDK!$C$6:$D$200,2,0)</f>
        <v>Tiền gửi ngân hàng (VNĐ)</v>
      </c>
    </row>
    <row r="35" spans="1:14" ht="12.75">
      <c r="A35" s="76" t="str">
        <f t="shared" si="0"/>
        <v>08/10/2020</v>
      </c>
      <c r="B35" s="77" t="s">
        <v>213</v>
      </c>
      <c r="C35" s="78"/>
      <c r="D35" s="78"/>
      <c r="E35" s="78" t="s">
        <v>669</v>
      </c>
      <c r="F35" s="79" t="s">
        <v>1025</v>
      </c>
      <c r="G35" s="77" t="s">
        <v>541</v>
      </c>
      <c r="H35" s="77" t="s">
        <v>1101</v>
      </c>
      <c r="I35" s="81" t="s">
        <v>371</v>
      </c>
      <c r="J35" s="81" t="s">
        <v>97</v>
      </c>
      <c r="K35" s="82"/>
      <c r="L35" s="82">
        <v>12000000</v>
      </c>
      <c r="M35" s="80" t="str">
        <f>VLOOKUP(I35,SDDK!$C$6:$D$200,2,0)</f>
        <v>Tiền mặt tại quỹ, ngân phiếu (VNĐ)</v>
      </c>
      <c r="N35" s="80" t="str">
        <f>VLOOKUP(J35,SDDK!$C$6:$D$200,2,0)</f>
        <v>Các khoản thu nhập khác - phải nộp thuế thu nhập</v>
      </c>
    </row>
    <row r="36" spans="1:14" ht="12.75">
      <c r="A36" s="76" t="str">
        <f t="shared" si="0"/>
        <v>08/10/2020</v>
      </c>
      <c r="B36" s="77" t="s">
        <v>214</v>
      </c>
      <c r="C36" s="78"/>
      <c r="D36" s="78"/>
      <c r="E36" s="78" t="s">
        <v>669</v>
      </c>
      <c r="F36" s="79" t="s">
        <v>1025</v>
      </c>
      <c r="G36" s="77" t="s">
        <v>541</v>
      </c>
      <c r="H36" s="77" t="s">
        <v>1102</v>
      </c>
      <c r="I36" s="81" t="s">
        <v>371</v>
      </c>
      <c r="J36" s="81" t="s">
        <v>155</v>
      </c>
      <c r="K36" s="82"/>
      <c r="L36" s="82">
        <f>L35*0.1</f>
        <v>1200000</v>
      </c>
      <c r="M36" s="80" t="str">
        <f>VLOOKUP(I36,SDDK!$C$6:$D$200,2,0)</f>
        <v>Tiền mặt tại quỹ, ngân phiếu (VNĐ)</v>
      </c>
      <c r="N36" s="80" t="str">
        <f>VLOOKUP(J36,SDDK!$C$6:$D$200,2,0)</f>
        <v>Thuế GTGT đầu ra hoạt động kinh doanh</v>
      </c>
    </row>
    <row r="37" spans="1:14" ht="12.75">
      <c r="A37" s="76" t="str">
        <f t="shared" si="0"/>
        <v>09/10/2020</v>
      </c>
      <c r="B37" s="77" t="s">
        <v>215</v>
      </c>
      <c r="C37" s="78"/>
      <c r="D37" s="78"/>
      <c r="E37" s="78"/>
      <c r="F37" s="79" t="s">
        <v>1035</v>
      </c>
      <c r="G37" s="77" t="s">
        <v>187</v>
      </c>
      <c r="H37" s="77" t="s">
        <v>1096</v>
      </c>
      <c r="I37" s="81" t="s">
        <v>371</v>
      </c>
      <c r="J37" s="81" t="s">
        <v>421</v>
      </c>
      <c r="K37" s="82"/>
      <c r="L37" s="82">
        <v>1000000</v>
      </c>
      <c r="M37" s="80" t="str">
        <f>VLOOKUP(I37,SDDK!$C$6:$D$200,2,0)</f>
        <v>Tiền mặt tại quỹ, ngân phiếu (VNĐ)</v>
      </c>
      <c r="N37" s="80" t="str">
        <f>VLOOKUP(J37,SDDK!$C$6:$D$200,2,0)</f>
        <v>Nguyễn Minh Ngân</v>
      </c>
    </row>
    <row r="38" spans="1:14" ht="12.75">
      <c r="A38" s="76" t="str">
        <f t="shared" si="0"/>
        <v>09/10/2020</v>
      </c>
      <c r="B38" s="77" t="s">
        <v>216</v>
      </c>
      <c r="C38" s="78"/>
      <c r="D38" s="78"/>
      <c r="E38" s="78"/>
      <c r="F38" s="79" t="s">
        <v>1035</v>
      </c>
      <c r="G38" s="77" t="s">
        <v>651</v>
      </c>
      <c r="H38" s="77" t="s">
        <v>1103</v>
      </c>
      <c r="I38" s="81" t="s">
        <v>371</v>
      </c>
      <c r="J38" s="81" t="s">
        <v>417</v>
      </c>
      <c r="K38" s="82"/>
      <c r="L38" s="82">
        <v>150000</v>
      </c>
      <c r="M38" s="80" t="str">
        <f>VLOOKUP(I38,SDDK!$C$6:$D$200,2,0)</f>
        <v>Tiền mặt tại quỹ, ngân phiếu (VNĐ)</v>
      </c>
      <c r="N38" s="80" t="str">
        <f>VLOOKUP(J38,SDDK!$C$6:$D$200,2,0)</f>
        <v>Các khoản phải thu khác</v>
      </c>
    </row>
    <row r="39" spans="1:14" ht="12.75">
      <c r="A39" s="76" t="str">
        <f t="shared" si="0"/>
        <v>09/10/2020</v>
      </c>
      <c r="B39" s="77" t="s">
        <v>217</v>
      </c>
      <c r="C39" s="78"/>
      <c r="D39" s="78"/>
      <c r="E39" s="78"/>
      <c r="F39" s="79" t="s">
        <v>1035</v>
      </c>
      <c r="G39" s="77" t="s">
        <v>187</v>
      </c>
      <c r="H39" s="77" t="s">
        <v>1104</v>
      </c>
      <c r="I39" s="81" t="s">
        <v>371</v>
      </c>
      <c r="J39" s="81" t="s">
        <v>421</v>
      </c>
      <c r="K39" s="82"/>
      <c r="L39" s="82">
        <v>80000</v>
      </c>
      <c r="M39" s="80" t="str">
        <f>VLOOKUP(I39,SDDK!$C$6:$D$200,2,0)</f>
        <v>Tiền mặt tại quỹ, ngân phiếu (VNĐ)</v>
      </c>
      <c r="N39" s="80" t="str">
        <f>VLOOKUP(J39,SDDK!$C$6:$D$200,2,0)</f>
        <v>Nguyễn Minh Ngân</v>
      </c>
    </row>
    <row r="40" spans="1:14" ht="12.75">
      <c r="A40" s="76" t="str">
        <f t="shared" si="0"/>
        <v>10/10/2020</v>
      </c>
      <c r="B40" s="77" t="s">
        <v>218</v>
      </c>
      <c r="C40" s="78"/>
      <c r="D40" s="77" t="s">
        <v>536</v>
      </c>
      <c r="E40" s="77" t="s">
        <v>670</v>
      </c>
      <c r="F40" s="79" t="s">
        <v>1036</v>
      </c>
      <c r="G40" s="77" t="s">
        <v>187</v>
      </c>
      <c r="H40" s="80" t="s">
        <v>1099</v>
      </c>
      <c r="I40" s="81" t="s">
        <v>371</v>
      </c>
      <c r="J40" s="81" t="s">
        <v>374</v>
      </c>
      <c r="K40" s="82"/>
      <c r="L40" s="82">
        <v>15000000</v>
      </c>
      <c r="M40" s="80" t="str">
        <f>VLOOKUP(I40,SDDK!$C$6:$D$200,2,0)</f>
        <v>Tiền mặt tại quỹ, ngân phiếu (VNĐ)</v>
      </c>
      <c r="N40" s="80" t="str">
        <f>VLOOKUP(J40,SDDK!$C$6:$D$200,2,0)</f>
        <v>Tiền gửi ngân hàng (VNĐ)</v>
      </c>
    </row>
    <row r="41" spans="1:14" ht="12.75">
      <c r="A41" s="76" t="str">
        <f t="shared" si="0"/>
        <v>12/10/2020</v>
      </c>
      <c r="B41" s="77" t="s">
        <v>219</v>
      </c>
      <c r="C41" s="78"/>
      <c r="D41" s="78"/>
      <c r="E41" s="78"/>
      <c r="F41" s="79" t="s">
        <v>1037</v>
      </c>
      <c r="G41" s="77" t="s">
        <v>187</v>
      </c>
      <c r="H41" s="77" t="s">
        <v>1105</v>
      </c>
      <c r="I41" s="81" t="s">
        <v>174</v>
      </c>
      <c r="J41" s="81" t="s">
        <v>371</v>
      </c>
      <c r="K41" s="82"/>
      <c r="L41" s="82">
        <v>500000</v>
      </c>
      <c r="M41" s="80" t="str">
        <f>VLOOKUP(I41,SDDK!$C$6:$D$200,2,0)</f>
        <v>Quỹ khen thưởng</v>
      </c>
      <c r="N41" s="80" t="str">
        <f>VLOOKUP(J41,SDDK!$C$6:$D$200,2,0)</f>
        <v>Tiền mặt tại quỹ, ngân phiếu (VNĐ)</v>
      </c>
    </row>
    <row r="42" spans="1:14" ht="12.75">
      <c r="A42" s="76" t="str">
        <f t="shared" si="0"/>
        <v>12/10/2015</v>
      </c>
      <c r="B42" s="77" t="s">
        <v>220</v>
      </c>
      <c r="C42" s="78"/>
      <c r="D42" s="78"/>
      <c r="E42" s="78" t="s">
        <v>671</v>
      </c>
      <c r="F42" s="79" t="s">
        <v>757</v>
      </c>
      <c r="G42" s="77" t="s">
        <v>658</v>
      </c>
      <c r="H42" s="77" t="s">
        <v>1106</v>
      </c>
      <c r="I42" s="81" t="s">
        <v>94</v>
      </c>
      <c r="J42" s="81" t="s">
        <v>371</v>
      </c>
      <c r="K42" s="82"/>
      <c r="L42" s="82">
        <v>500000</v>
      </c>
      <c r="M42" s="80" t="str">
        <f>VLOOKUP(I42,SDDK!$C$6:$D$200,2,0)</f>
        <v>Chi phí dịch vụ quản lý doanh nghiệp</v>
      </c>
      <c r="N42" s="80" t="str">
        <f>VLOOKUP(J42,SDDK!$C$6:$D$200,2,0)</f>
        <v>Tiền mặt tại quỹ, ngân phiếu (VNĐ)</v>
      </c>
    </row>
    <row r="43" spans="1:14" ht="12.75">
      <c r="A43" s="76" t="str">
        <f t="shared" si="0"/>
        <v>12/10/2020</v>
      </c>
      <c r="B43" s="77" t="s">
        <v>220</v>
      </c>
      <c r="C43" s="78"/>
      <c r="D43" s="78"/>
      <c r="E43" s="78" t="s">
        <v>671</v>
      </c>
      <c r="F43" s="79" t="s">
        <v>1037</v>
      </c>
      <c r="G43" s="77" t="s">
        <v>658</v>
      </c>
      <c r="H43" s="77" t="s">
        <v>1080</v>
      </c>
      <c r="I43" s="81" t="s">
        <v>402</v>
      </c>
      <c r="J43" s="81" t="s">
        <v>371</v>
      </c>
      <c r="K43" s="82"/>
      <c r="L43" s="82">
        <f>L42*0.1</f>
        <v>50000</v>
      </c>
      <c r="M43" s="80" t="str">
        <f>VLOOKUP(I43,SDDK!$C$6:$D$200,2,0)</f>
        <v>Thuế GTGT được khấu trừ của hàng hóa, dịch vụ</v>
      </c>
      <c r="N43" s="80" t="str">
        <f>VLOOKUP(J43,SDDK!$C$6:$D$200,2,0)</f>
        <v>Tiền mặt tại quỹ, ngân phiếu (VNĐ)</v>
      </c>
    </row>
    <row r="44" spans="1:14" ht="12.75">
      <c r="A44" s="76" t="str">
        <f t="shared" si="0"/>
        <v>12/10/2020</v>
      </c>
      <c r="B44" s="77" t="s">
        <v>221</v>
      </c>
      <c r="C44" s="78"/>
      <c r="D44" s="77" t="s">
        <v>537</v>
      </c>
      <c r="E44" s="77" t="s">
        <v>720</v>
      </c>
      <c r="F44" s="79" t="s">
        <v>1037</v>
      </c>
      <c r="G44" s="77" t="s">
        <v>187</v>
      </c>
      <c r="H44" s="77" t="s">
        <v>1107</v>
      </c>
      <c r="I44" s="81" t="s">
        <v>374</v>
      </c>
      <c r="J44" s="81" t="s">
        <v>371</v>
      </c>
      <c r="K44" s="82"/>
      <c r="L44" s="82">
        <v>40000000</v>
      </c>
      <c r="M44" s="80" t="str">
        <f>VLOOKUP(I44,SDDK!$C$6:$D$200,2,0)</f>
        <v>Tiền gửi ngân hàng (VNĐ)</v>
      </c>
      <c r="N44" s="80" t="str">
        <f>VLOOKUP(J44,SDDK!$C$6:$D$200,2,0)</f>
        <v>Tiền mặt tại quỹ, ngân phiếu (VNĐ)</v>
      </c>
    </row>
    <row r="45" spans="1:14" ht="12.75">
      <c r="A45" s="76" t="str">
        <f t="shared" si="0"/>
        <v>12/10/2020</v>
      </c>
      <c r="B45" s="77"/>
      <c r="C45" s="77" t="s">
        <v>222</v>
      </c>
      <c r="D45" s="77"/>
      <c r="E45" s="78"/>
      <c r="F45" s="79" t="s">
        <v>1037</v>
      </c>
      <c r="G45" s="77" t="s">
        <v>649</v>
      </c>
      <c r="H45" s="77" t="s">
        <v>1108</v>
      </c>
      <c r="I45" s="81" t="s">
        <v>29</v>
      </c>
      <c r="J45" s="81" t="s">
        <v>424</v>
      </c>
      <c r="K45" s="82">
        <v>300</v>
      </c>
      <c r="L45" s="82">
        <f>K45*7500</f>
        <v>2250000</v>
      </c>
      <c r="M45" s="80" t="str">
        <f>VLOOKUP(I45,SDDK!$C$6:$D$200,2,0)</f>
        <v>Chi phí NVL trực tiếp cho Dịch vụ sửa chữa</v>
      </c>
      <c r="N45" s="80" t="str">
        <f>VLOOKUP(J45,SDDK!$C$6:$D$200,2,0)</f>
        <v>Thuốc nhuộm màu xanh đen C02</v>
      </c>
    </row>
    <row r="46" spans="1:14" ht="12.75">
      <c r="A46" s="76" t="str">
        <f t="shared" si="0"/>
        <v>12/10/2020</v>
      </c>
      <c r="B46" s="77" t="s">
        <v>223</v>
      </c>
      <c r="C46" s="78"/>
      <c r="D46" s="78"/>
      <c r="E46" s="78"/>
      <c r="F46" s="79" t="s">
        <v>1037</v>
      </c>
      <c r="G46" s="77" t="s">
        <v>187</v>
      </c>
      <c r="H46" s="77" t="s">
        <v>1109</v>
      </c>
      <c r="I46" s="81" t="s">
        <v>780</v>
      </c>
      <c r="J46" s="81" t="s">
        <v>371</v>
      </c>
      <c r="K46" s="82"/>
      <c r="L46" s="82">
        <v>35000000</v>
      </c>
      <c r="M46" s="80" t="str">
        <f>VLOOKUP(I46,SDDK!$C$6:$D$200,2,0)</f>
        <v>Phải trả công nhân viên</v>
      </c>
      <c r="N46" s="80" t="str">
        <f>VLOOKUP(J46,SDDK!$C$6:$D$200,2,0)</f>
        <v>Tiền mặt tại quỹ, ngân phiếu (VNĐ)</v>
      </c>
    </row>
    <row r="47" spans="1:14" ht="12.75">
      <c r="A47" s="76" t="str">
        <f t="shared" si="0"/>
        <v>12/10/2020</v>
      </c>
      <c r="B47" s="77" t="s">
        <v>224</v>
      </c>
      <c r="C47" s="77" t="s">
        <v>225</v>
      </c>
      <c r="D47" s="77" t="s">
        <v>538</v>
      </c>
      <c r="E47" s="78" t="s">
        <v>672</v>
      </c>
      <c r="F47" s="79" t="s">
        <v>1037</v>
      </c>
      <c r="G47" s="77" t="s">
        <v>113</v>
      </c>
      <c r="H47" s="77" t="s">
        <v>1110</v>
      </c>
      <c r="I47" s="81" t="s">
        <v>424</v>
      </c>
      <c r="J47" s="81" t="s">
        <v>371</v>
      </c>
      <c r="K47" s="82"/>
      <c r="L47" s="82">
        <v>100000</v>
      </c>
      <c r="M47" s="80" t="str">
        <f>VLOOKUP(I47,SDDK!$C$6:$D$200,2,0)</f>
        <v>Thuốc nhuộm màu xanh đen C02</v>
      </c>
      <c r="N47" s="80" t="str">
        <f>VLOOKUP(J47,SDDK!$C$6:$D$200,2,0)</f>
        <v>Tiền mặt tại quỹ, ngân phiếu (VNĐ)</v>
      </c>
    </row>
    <row r="48" spans="1:14" ht="12.75">
      <c r="A48" s="76" t="str">
        <f t="shared" si="0"/>
        <v>12/10/2020</v>
      </c>
      <c r="B48" s="77" t="s">
        <v>224</v>
      </c>
      <c r="C48" s="77"/>
      <c r="D48" s="77" t="s">
        <v>538</v>
      </c>
      <c r="E48" s="78" t="s">
        <v>672</v>
      </c>
      <c r="F48" s="79" t="s">
        <v>1037</v>
      </c>
      <c r="G48" s="77" t="s">
        <v>113</v>
      </c>
      <c r="H48" s="77" t="s">
        <v>1080</v>
      </c>
      <c r="I48" s="81" t="s">
        <v>402</v>
      </c>
      <c r="J48" s="81" t="s">
        <v>371</v>
      </c>
      <c r="K48" s="82"/>
      <c r="L48" s="82">
        <f>L47*0.1</f>
        <v>10000</v>
      </c>
      <c r="M48" s="80" t="str">
        <f>VLOOKUP(I48,SDDK!$C$6:$D$200,2,0)</f>
        <v>Thuế GTGT được khấu trừ của hàng hóa, dịch vụ</v>
      </c>
      <c r="N48" s="80" t="str">
        <f>VLOOKUP(J48,SDDK!$C$6:$D$200,2,0)</f>
        <v>Tiền mặt tại quỹ, ngân phiếu (VNĐ)</v>
      </c>
    </row>
    <row r="49" spans="1:14" ht="12.75">
      <c r="A49" s="76" t="str">
        <f t="shared" si="0"/>
        <v>12/10/2020</v>
      </c>
      <c r="B49" s="77" t="s">
        <v>226</v>
      </c>
      <c r="C49" s="78"/>
      <c r="D49" s="77" t="s">
        <v>539</v>
      </c>
      <c r="E49" s="78" t="s">
        <v>673</v>
      </c>
      <c r="F49" s="79" t="s">
        <v>1037</v>
      </c>
      <c r="G49" s="77" t="s">
        <v>113</v>
      </c>
      <c r="H49" s="77" t="s">
        <v>1111</v>
      </c>
      <c r="I49" s="81" t="s">
        <v>94</v>
      </c>
      <c r="J49" s="81" t="s">
        <v>371</v>
      </c>
      <c r="K49" s="82"/>
      <c r="L49" s="82">
        <v>2000000</v>
      </c>
      <c r="M49" s="80" t="str">
        <f>VLOOKUP(I49,SDDK!$C$6:$D$200,2,0)</f>
        <v>Chi phí dịch vụ quản lý doanh nghiệp</v>
      </c>
      <c r="N49" s="80" t="str">
        <f>VLOOKUP(J49,SDDK!$C$6:$D$200,2,0)</f>
        <v>Tiền mặt tại quỹ, ngân phiếu (VNĐ)</v>
      </c>
    </row>
    <row r="50" spans="1:14" ht="12.75">
      <c r="A50" s="76" t="str">
        <f t="shared" si="0"/>
        <v>12/10/2020</v>
      </c>
      <c r="B50" s="77" t="s">
        <v>226</v>
      </c>
      <c r="C50" s="78"/>
      <c r="D50" s="77" t="s">
        <v>539</v>
      </c>
      <c r="E50" s="78" t="s">
        <v>673</v>
      </c>
      <c r="F50" s="79" t="s">
        <v>1037</v>
      </c>
      <c r="G50" s="77" t="s">
        <v>113</v>
      </c>
      <c r="H50" s="77" t="s">
        <v>1080</v>
      </c>
      <c r="I50" s="81" t="s">
        <v>402</v>
      </c>
      <c r="J50" s="81" t="s">
        <v>371</v>
      </c>
      <c r="K50" s="82"/>
      <c r="L50" s="82">
        <f>L49*0.1</f>
        <v>200000</v>
      </c>
      <c r="M50" s="80" t="str">
        <f>VLOOKUP(I50,SDDK!$C$6:$D$200,2,0)</f>
        <v>Thuế GTGT được khấu trừ của hàng hóa, dịch vụ</v>
      </c>
      <c r="N50" s="80" t="str">
        <f>VLOOKUP(J50,SDDK!$C$6:$D$200,2,0)</f>
        <v>Tiền mặt tại quỹ, ngân phiếu (VNĐ)</v>
      </c>
    </row>
    <row r="51" spans="1:14" ht="12.75">
      <c r="A51" s="76" t="str">
        <f t="shared" si="0"/>
        <v>12/10/2020</v>
      </c>
      <c r="B51" s="77" t="s">
        <v>227</v>
      </c>
      <c r="C51" s="78"/>
      <c r="D51" s="78"/>
      <c r="E51" s="78" t="s">
        <v>674</v>
      </c>
      <c r="F51" s="79" t="s">
        <v>1037</v>
      </c>
      <c r="G51" s="77" t="s">
        <v>113</v>
      </c>
      <c r="H51" s="77" t="s">
        <v>1112</v>
      </c>
      <c r="I51" s="81" t="s">
        <v>50</v>
      </c>
      <c r="J51" s="81" t="s">
        <v>371</v>
      </c>
      <c r="K51" s="82"/>
      <c r="L51" s="82">
        <v>1200000</v>
      </c>
      <c r="M51" s="80" t="str">
        <f>VLOOKUP(I51,SDDK!$C$6:$D$200,2,0)</f>
        <v>Chi phí dịch vụ mua ngoài PX1</v>
      </c>
      <c r="N51" s="80" t="str">
        <f>VLOOKUP(J51,SDDK!$C$6:$D$200,2,0)</f>
        <v>Tiền mặt tại quỹ, ngân phiếu (VNĐ)</v>
      </c>
    </row>
    <row r="52" spans="1:14" ht="12.75">
      <c r="A52" s="76" t="str">
        <f t="shared" si="0"/>
        <v>12/10/2020</v>
      </c>
      <c r="B52" s="77" t="s">
        <v>227</v>
      </c>
      <c r="C52" s="78"/>
      <c r="D52" s="78"/>
      <c r="E52" s="78" t="s">
        <v>674</v>
      </c>
      <c r="F52" s="79" t="s">
        <v>1037</v>
      </c>
      <c r="G52" s="77" t="s">
        <v>113</v>
      </c>
      <c r="H52" s="77" t="s">
        <v>1080</v>
      </c>
      <c r="I52" s="81" t="s">
        <v>402</v>
      </c>
      <c r="J52" s="81" t="s">
        <v>371</v>
      </c>
      <c r="K52" s="82"/>
      <c r="L52" s="82">
        <f>L51*0.1</f>
        <v>120000</v>
      </c>
      <c r="M52" s="80" t="str">
        <f>VLOOKUP(I52,SDDK!$C$6:$D$200,2,0)</f>
        <v>Thuế GTGT được khấu trừ của hàng hóa, dịch vụ</v>
      </c>
      <c r="N52" s="80" t="str">
        <f>VLOOKUP(J52,SDDK!$C$6:$D$200,2,0)</f>
        <v>Tiền mặt tại quỹ, ngân phiếu (VNĐ)</v>
      </c>
    </row>
    <row r="53" spans="1:14" ht="12.75">
      <c r="A53" s="76" t="str">
        <f t="shared" si="0"/>
        <v>14/10/2020</v>
      </c>
      <c r="B53" s="77" t="s">
        <v>228</v>
      </c>
      <c r="C53" s="78"/>
      <c r="D53" s="78"/>
      <c r="E53" s="78"/>
      <c r="F53" s="79" t="s">
        <v>1038</v>
      </c>
      <c r="G53" s="77" t="s">
        <v>187</v>
      </c>
      <c r="H53" s="77" t="s">
        <v>1113</v>
      </c>
      <c r="I53" s="81" t="s">
        <v>421</v>
      </c>
      <c r="J53" s="81" t="s">
        <v>371</v>
      </c>
      <c r="K53" s="82"/>
      <c r="L53" s="82">
        <v>2000000</v>
      </c>
      <c r="M53" s="80" t="str">
        <f>VLOOKUP(I53,SDDK!$C$6:$D$200,2,0)</f>
        <v>Nguyễn Minh Ngân</v>
      </c>
      <c r="N53" s="80" t="str">
        <f>VLOOKUP(J53,SDDK!$C$6:$D$200,2,0)</f>
        <v>Tiền mặt tại quỹ, ngân phiếu (VNĐ)</v>
      </c>
    </row>
    <row r="54" spans="1:14" ht="12.75">
      <c r="A54" s="76" t="str">
        <f t="shared" si="0"/>
        <v>14/10/2020</v>
      </c>
      <c r="B54" s="77" t="s">
        <v>229</v>
      </c>
      <c r="C54" s="78"/>
      <c r="D54" s="78"/>
      <c r="E54" s="78" t="s">
        <v>675</v>
      </c>
      <c r="F54" s="79" t="s">
        <v>1038</v>
      </c>
      <c r="G54" s="77" t="s">
        <v>116</v>
      </c>
      <c r="H54" s="77" t="s">
        <v>1114</v>
      </c>
      <c r="I54" s="81" t="s">
        <v>435</v>
      </c>
      <c r="J54" s="83" t="s">
        <v>371</v>
      </c>
      <c r="K54" s="82"/>
      <c r="L54" s="82">
        <v>35000000</v>
      </c>
      <c r="M54" s="80" t="str">
        <f>VLOOKUP(I54,SDDK!$C$6:$D$200,2,0)</f>
        <v>Nguyên giá tài sản cố định hữu hình</v>
      </c>
      <c r="N54" s="80" t="str">
        <f>VLOOKUP(J54,SDDK!$C$6:$D$200,2,0)</f>
        <v>Tiền mặt tại quỹ, ngân phiếu (VNĐ)</v>
      </c>
    </row>
    <row r="55" spans="1:14" ht="12.75">
      <c r="A55" s="76" t="str">
        <f t="shared" si="0"/>
        <v>14/10/2020</v>
      </c>
      <c r="B55" s="77" t="s">
        <v>229</v>
      </c>
      <c r="C55" s="78"/>
      <c r="D55" s="78"/>
      <c r="E55" s="78" t="s">
        <v>675</v>
      </c>
      <c r="F55" s="79" t="s">
        <v>1038</v>
      </c>
      <c r="G55" s="77" t="s">
        <v>116</v>
      </c>
      <c r="H55" s="77" t="s">
        <v>1080</v>
      </c>
      <c r="I55" s="81" t="s">
        <v>404</v>
      </c>
      <c r="J55" s="83" t="s">
        <v>371</v>
      </c>
      <c r="K55" s="82"/>
      <c r="L55" s="82">
        <f>L54*0.1</f>
        <v>3500000</v>
      </c>
      <c r="M55" s="80" t="str">
        <f>VLOOKUP(I55,SDDK!$C$6:$D$200,2,0)</f>
        <v>Thuế GTGT được khấu trừ của TSCĐ</v>
      </c>
      <c r="N55" s="80" t="str">
        <f>VLOOKUP(J55,SDDK!$C$6:$D$200,2,0)</f>
        <v>Tiền mặt tại quỹ, ngân phiếu (VNĐ)</v>
      </c>
    </row>
    <row r="56" spans="1:14" ht="12.75">
      <c r="A56" s="76" t="str">
        <f t="shared" si="0"/>
        <v>14/10/2020</v>
      </c>
      <c r="B56" s="77" t="s">
        <v>230</v>
      </c>
      <c r="C56" s="78"/>
      <c r="D56" s="78"/>
      <c r="E56" s="78"/>
      <c r="F56" s="79" t="s">
        <v>1038</v>
      </c>
      <c r="G56" s="77" t="s">
        <v>187</v>
      </c>
      <c r="H56" s="77" t="s">
        <v>1115</v>
      </c>
      <c r="I56" s="81" t="s">
        <v>383</v>
      </c>
      <c r="J56" s="81" t="s">
        <v>371</v>
      </c>
      <c r="K56" s="82"/>
      <c r="L56" s="82">
        <v>30000000</v>
      </c>
      <c r="M56" s="80" t="str">
        <f>VLOOKUP(I56,SDDK!$C$6:$D$200,2,0)</f>
        <v>Tín phiếu kho bạc (không quá 3 tháng)</v>
      </c>
      <c r="N56" s="80" t="str">
        <f>VLOOKUP(J56,SDDK!$C$6:$D$200,2,0)</f>
        <v>Tiền mặt tại quỹ, ngân phiếu (VNĐ)</v>
      </c>
    </row>
    <row r="57" spans="1:14" ht="12.75">
      <c r="A57" s="76" t="str">
        <f t="shared" si="0"/>
        <v>14/10/2020</v>
      </c>
      <c r="B57" s="77" t="s">
        <v>231</v>
      </c>
      <c r="C57" s="78"/>
      <c r="D57" s="78"/>
      <c r="E57" s="78"/>
      <c r="F57" s="79" t="s">
        <v>1038</v>
      </c>
      <c r="G57" s="77" t="s">
        <v>187</v>
      </c>
      <c r="H57" s="77" t="s">
        <v>1116</v>
      </c>
      <c r="I57" s="81" t="s">
        <v>439</v>
      </c>
      <c r="J57" s="81" t="s">
        <v>371</v>
      </c>
      <c r="K57" s="82"/>
      <c r="L57" s="82">
        <v>40000000</v>
      </c>
      <c r="M57" s="80" t="str">
        <f>VLOOKUP(I57,SDDK!$C$6:$D$200,2,0)</f>
        <v>Tài sản cố định vô hình</v>
      </c>
      <c r="N57" s="80" t="str">
        <f>VLOOKUP(J57,SDDK!$C$6:$D$200,2,0)</f>
        <v>Tiền mặt tại quỹ, ngân phiếu (VNĐ)</v>
      </c>
    </row>
    <row r="58" spans="1:14" ht="12.75">
      <c r="A58" s="76" t="str">
        <f t="shared" si="0"/>
        <v>15/10/2020</v>
      </c>
      <c r="B58" s="77" t="s">
        <v>232</v>
      </c>
      <c r="C58" s="78"/>
      <c r="D58" s="78"/>
      <c r="E58" s="78"/>
      <c r="F58" s="79" t="s">
        <v>1039</v>
      </c>
      <c r="G58" s="77" t="s">
        <v>187</v>
      </c>
      <c r="H58" s="77" t="s">
        <v>1091</v>
      </c>
      <c r="I58" s="81" t="s">
        <v>421</v>
      </c>
      <c r="J58" s="81" t="s">
        <v>371</v>
      </c>
      <c r="K58" s="82"/>
      <c r="L58" s="82">
        <v>400000</v>
      </c>
      <c r="M58" s="80" t="str">
        <f>VLOOKUP(I58,SDDK!$C$6:$D$200,2,0)</f>
        <v>Nguyễn Minh Ngân</v>
      </c>
      <c r="N58" s="80" t="str">
        <f>VLOOKUP(J58,SDDK!$C$6:$D$200,2,0)</f>
        <v>Tiền mặt tại quỹ, ngân phiếu (VNĐ)</v>
      </c>
    </row>
    <row r="59" spans="1:14" ht="12.75">
      <c r="A59" s="76" t="str">
        <f t="shared" si="0"/>
        <v>15/10/2020</v>
      </c>
      <c r="B59" s="77" t="s">
        <v>233</v>
      </c>
      <c r="C59" s="78"/>
      <c r="D59" s="78"/>
      <c r="E59" s="78"/>
      <c r="F59" s="79" t="s">
        <v>1039</v>
      </c>
      <c r="G59" s="77" t="s">
        <v>652</v>
      </c>
      <c r="H59" s="77" t="s">
        <v>1117</v>
      </c>
      <c r="I59" s="81" t="s">
        <v>166</v>
      </c>
      <c r="J59" s="81" t="s">
        <v>371</v>
      </c>
      <c r="K59" s="82"/>
      <c r="L59" s="82">
        <v>1500000</v>
      </c>
      <c r="M59" s="80" t="str">
        <f>VLOOKUP(I59,SDDK!$C$6:$D$200,2,0)</f>
        <v>Kinh phí công đoàn</v>
      </c>
      <c r="N59" s="80" t="str">
        <f>VLOOKUP(J59,SDDK!$C$6:$D$200,2,0)</f>
        <v>Tiền mặt tại quỹ, ngân phiếu (VNĐ)</v>
      </c>
    </row>
    <row r="60" spans="1:14" ht="12.75">
      <c r="A60" s="76" t="str">
        <f t="shared" si="0"/>
        <v>15/10/2020</v>
      </c>
      <c r="B60" s="77" t="s">
        <v>234</v>
      </c>
      <c r="C60" s="78"/>
      <c r="D60" s="78"/>
      <c r="E60" s="78"/>
      <c r="F60" s="79" t="s">
        <v>1039</v>
      </c>
      <c r="G60" s="77" t="s">
        <v>816</v>
      </c>
      <c r="H60" s="77" t="s">
        <v>1118</v>
      </c>
      <c r="I60" s="81" t="s">
        <v>469</v>
      </c>
      <c r="J60" s="81" t="s">
        <v>371</v>
      </c>
      <c r="K60" s="82"/>
      <c r="L60" s="82">
        <v>10000000</v>
      </c>
      <c r="M60" s="80" t="str">
        <f>VLOOKUP(I60,SDDK!$C$6:$D$200,2,0)</f>
        <v>Phải trả ngắn hạn Công ty TNHH Yến Phi</v>
      </c>
      <c r="N60" s="80" t="str">
        <f>VLOOKUP(J60,SDDK!$C$6:$D$200,2,0)</f>
        <v>Tiền mặt tại quỹ, ngân phiếu (VNĐ)</v>
      </c>
    </row>
    <row r="61" spans="1:14" ht="12.75">
      <c r="A61" s="76" t="str">
        <f t="shared" si="0"/>
        <v>15/10/2020</v>
      </c>
      <c r="B61" s="77" t="s">
        <v>235</v>
      </c>
      <c r="C61" s="77" t="s">
        <v>236</v>
      </c>
      <c r="D61" s="77" t="s">
        <v>542</v>
      </c>
      <c r="E61" s="78" t="s">
        <v>676</v>
      </c>
      <c r="F61" s="79" t="s">
        <v>1039</v>
      </c>
      <c r="G61" s="77" t="s">
        <v>117</v>
      </c>
      <c r="H61" s="77" t="s">
        <v>1119</v>
      </c>
      <c r="I61" s="81" t="s">
        <v>763</v>
      </c>
      <c r="J61" s="81" t="s">
        <v>371</v>
      </c>
      <c r="K61" s="82">
        <v>62</v>
      </c>
      <c r="L61" s="82">
        <f>K61*247000</f>
        <v>15314000</v>
      </c>
      <c r="M61" s="80" t="str">
        <f>VLOOKUP(I61,SDDK!$C$6:$D$200,2,0)</f>
        <v>Kéo cắt vải</v>
      </c>
      <c r="N61" s="80" t="str">
        <f>VLOOKUP(J61,SDDK!$C$6:$D$200,2,0)</f>
        <v>Tiền mặt tại quỹ, ngân phiếu (VNĐ)</v>
      </c>
    </row>
    <row r="62" spans="1:14" ht="12.75">
      <c r="A62" s="76" t="str">
        <f t="shared" si="0"/>
        <v>15/10/2020</v>
      </c>
      <c r="B62" s="77" t="s">
        <v>235</v>
      </c>
      <c r="C62" s="77"/>
      <c r="D62" s="77" t="s">
        <v>542</v>
      </c>
      <c r="E62" s="78" t="s">
        <v>676</v>
      </c>
      <c r="F62" s="79" t="s">
        <v>1039</v>
      </c>
      <c r="G62" s="77" t="s">
        <v>117</v>
      </c>
      <c r="H62" s="77" t="s">
        <v>1080</v>
      </c>
      <c r="I62" s="81" t="s">
        <v>402</v>
      </c>
      <c r="J62" s="81" t="s">
        <v>371</v>
      </c>
      <c r="K62" s="82"/>
      <c r="L62" s="82">
        <v>1531400</v>
      </c>
      <c r="M62" s="80" t="str">
        <f>VLOOKUP(I62,SDDK!$C$6:$D$200,2,0)</f>
        <v>Thuế GTGT được khấu trừ của hàng hóa, dịch vụ</v>
      </c>
      <c r="N62" s="80" t="str">
        <f>VLOOKUP(J62,SDDK!$C$6:$D$200,2,0)</f>
        <v>Tiền mặt tại quỹ, ngân phiếu (VNĐ)</v>
      </c>
    </row>
    <row r="63" spans="1:14" ht="12.75">
      <c r="A63" s="76" t="str">
        <f t="shared" si="0"/>
        <v>16/10/2020</v>
      </c>
      <c r="B63" s="77"/>
      <c r="C63" s="77" t="s">
        <v>237</v>
      </c>
      <c r="D63" s="77" t="s">
        <v>543</v>
      </c>
      <c r="E63" s="78" t="s">
        <v>677</v>
      </c>
      <c r="F63" s="79" t="s">
        <v>1040</v>
      </c>
      <c r="G63" s="77" t="s">
        <v>794</v>
      </c>
      <c r="H63" s="77" t="s">
        <v>1120</v>
      </c>
      <c r="I63" s="81" t="s">
        <v>424</v>
      </c>
      <c r="J63" s="81" t="s">
        <v>460</v>
      </c>
      <c r="K63" s="82">
        <v>10000</v>
      </c>
      <c r="L63" s="82">
        <f>1000*10500</f>
        <v>10500000</v>
      </c>
      <c r="M63" s="80" t="str">
        <f>VLOOKUP(I63,SDDK!$C$6:$D$200,2,0)</f>
        <v>Thuốc nhuộm màu xanh đen C02</v>
      </c>
      <c r="N63" s="80" t="str">
        <f>VLOOKUP(J63,SDDK!$C$6:$D$200,2,0)</f>
        <v>Phải trả ngắn hạn Công ty TNHH Mỹ Lệ</v>
      </c>
    </row>
    <row r="64" spans="1:14" ht="12.75">
      <c r="A64" s="76" t="str">
        <f t="shared" si="0"/>
        <v>16/10/2020</v>
      </c>
      <c r="B64" s="77"/>
      <c r="C64" s="77"/>
      <c r="D64" s="77" t="s">
        <v>543</v>
      </c>
      <c r="E64" s="78" t="s">
        <v>677</v>
      </c>
      <c r="F64" s="79" t="s">
        <v>1040</v>
      </c>
      <c r="G64" s="77" t="s">
        <v>794</v>
      </c>
      <c r="H64" s="77" t="s">
        <v>1080</v>
      </c>
      <c r="I64" s="81" t="s">
        <v>402</v>
      </c>
      <c r="J64" s="81" t="s">
        <v>460</v>
      </c>
      <c r="K64" s="82"/>
      <c r="L64" s="82">
        <v>1050000</v>
      </c>
      <c r="M64" s="80" t="str">
        <f>VLOOKUP(I64,SDDK!$C$6:$D$200,2,0)</f>
        <v>Thuế GTGT được khấu trừ của hàng hóa, dịch vụ</v>
      </c>
      <c r="N64" s="80" t="str">
        <f>VLOOKUP(J64,SDDK!$C$6:$D$200,2,0)</f>
        <v>Phải trả ngắn hạn Công ty TNHH Mỹ Lệ</v>
      </c>
    </row>
    <row r="65" spans="1:14" ht="12.75">
      <c r="A65" s="76" t="str">
        <f t="shared" si="0"/>
        <v>16/10/2020</v>
      </c>
      <c r="B65" s="77"/>
      <c r="C65" s="77" t="s">
        <v>238</v>
      </c>
      <c r="D65" s="77" t="s">
        <v>544</v>
      </c>
      <c r="E65" s="78" t="s">
        <v>678</v>
      </c>
      <c r="F65" s="79" t="s">
        <v>1040</v>
      </c>
      <c r="G65" s="77" t="s">
        <v>795</v>
      </c>
      <c r="H65" s="77" t="s">
        <v>1121</v>
      </c>
      <c r="I65" s="83" t="s">
        <v>423</v>
      </c>
      <c r="J65" s="81" t="s">
        <v>458</v>
      </c>
      <c r="K65" s="82">
        <v>9286</v>
      </c>
      <c r="L65" s="82">
        <f>9286*19000</f>
        <v>176434000</v>
      </c>
      <c r="M65" s="80" t="str">
        <f>VLOOKUP(I65,SDDK!$C$6:$D$200,2,0)</f>
        <v>Sợi thun coton thô</v>
      </c>
      <c r="N65" s="80" t="str">
        <f>VLOOKUP(J65,SDDK!$C$6:$D$200,2,0)</f>
        <v>Phải trả ngắn hạn Công ty TNHH Khanh Hòa</v>
      </c>
    </row>
    <row r="66" spans="1:14" ht="12.75">
      <c r="A66" s="76" t="str">
        <f t="shared" si="0"/>
        <v>16/10/2020</v>
      </c>
      <c r="B66" s="77"/>
      <c r="C66" s="77"/>
      <c r="D66" s="77" t="s">
        <v>544</v>
      </c>
      <c r="E66" s="78" t="s">
        <v>678</v>
      </c>
      <c r="F66" s="79" t="s">
        <v>1040</v>
      </c>
      <c r="G66" s="77" t="s">
        <v>795</v>
      </c>
      <c r="H66" s="77" t="s">
        <v>1080</v>
      </c>
      <c r="I66" s="81" t="s">
        <v>402</v>
      </c>
      <c r="J66" s="81" t="s">
        <v>458</v>
      </c>
      <c r="K66" s="82"/>
      <c r="L66" s="82">
        <v>17643400</v>
      </c>
      <c r="M66" s="80" t="str">
        <f>VLOOKUP(I66,SDDK!$C$6:$D$200,2,0)</f>
        <v>Thuế GTGT được khấu trừ của hàng hóa, dịch vụ</v>
      </c>
      <c r="N66" s="80" t="str">
        <f>VLOOKUP(J66,SDDK!$C$6:$D$200,2,0)</f>
        <v>Phải trả ngắn hạn Công ty TNHH Khanh Hòa</v>
      </c>
    </row>
    <row r="67" spans="1:14" ht="12.75">
      <c r="A67" s="76" t="str">
        <f t="shared" si="0"/>
        <v>17/10/2020</v>
      </c>
      <c r="B67" s="77"/>
      <c r="C67" s="77" t="s">
        <v>239</v>
      </c>
      <c r="D67" s="77" t="s">
        <v>545</v>
      </c>
      <c r="E67" s="78" t="s">
        <v>679</v>
      </c>
      <c r="F67" s="79" t="s">
        <v>1041</v>
      </c>
      <c r="G67" s="77" t="s">
        <v>796</v>
      </c>
      <c r="H67" s="77" t="s">
        <v>1122</v>
      </c>
      <c r="I67" s="83" t="s">
        <v>426</v>
      </c>
      <c r="J67" s="81" t="s">
        <v>459</v>
      </c>
      <c r="K67" s="82">
        <v>300</v>
      </c>
      <c r="L67" s="82">
        <f>300*16500</f>
        <v>4950000</v>
      </c>
      <c r="M67" s="80" t="str">
        <f>VLOOKUP(I67,SDDK!$C$6:$D$200,2,0)</f>
        <v>Nhiên liệu Dầu nhớt Deizel</v>
      </c>
      <c r="N67" s="80" t="str">
        <f>VLOOKUP(J67,SDDK!$C$6:$D$200,2,0)</f>
        <v>Phải trả ngắn hạn Công ty TNHH Linh Lan</v>
      </c>
    </row>
    <row r="68" spans="1:14" ht="12.75">
      <c r="A68" s="76" t="str">
        <f t="shared" si="0"/>
        <v>17/10/2020</v>
      </c>
      <c r="B68" s="77"/>
      <c r="C68" s="77"/>
      <c r="D68" s="77" t="s">
        <v>545</v>
      </c>
      <c r="E68" s="78" t="s">
        <v>679</v>
      </c>
      <c r="F68" s="79" t="s">
        <v>1041</v>
      </c>
      <c r="G68" s="77" t="s">
        <v>796</v>
      </c>
      <c r="H68" s="77" t="s">
        <v>1080</v>
      </c>
      <c r="I68" s="81" t="s">
        <v>402</v>
      </c>
      <c r="J68" s="81" t="s">
        <v>459</v>
      </c>
      <c r="K68" s="82"/>
      <c r="L68" s="82">
        <v>495000</v>
      </c>
      <c r="M68" s="80" t="str">
        <f>VLOOKUP(I68,SDDK!$C$6:$D$200,2,0)</f>
        <v>Thuế GTGT được khấu trừ của hàng hóa, dịch vụ</v>
      </c>
      <c r="N68" s="80" t="str">
        <f>VLOOKUP(J68,SDDK!$C$6:$D$200,2,0)</f>
        <v>Phải trả ngắn hạn Công ty TNHH Linh Lan</v>
      </c>
    </row>
    <row r="69" spans="1:14" ht="12.75">
      <c r="A69" s="76" t="str">
        <f t="shared" si="0"/>
        <v>17/10/2020</v>
      </c>
      <c r="B69" s="77"/>
      <c r="C69" s="77" t="s">
        <v>240</v>
      </c>
      <c r="D69" s="77" t="s">
        <v>546</v>
      </c>
      <c r="E69" s="78" t="s">
        <v>680</v>
      </c>
      <c r="F69" s="79" t="s">
        <v>1041</v>
      </c>
      <c r="G69" s="77" t="s">
        <v>797</v>
      </c>
      <c r="H69" s="77" t="s">
        <v>1120</v>
      </c>
      <c r="I69" s="81" t="s">
        <v>424</v>
      </c>
      <c r="J69" s="81" t="s">
        <v>470</v>
      </c>
      <c r="K69" s="82">
        <v>11000</v>
      </c>
      <c r="L69" s="82">
        <f>11000*11000</f>
        <v>121000000</v>
      </c>
      <c r="M69" s="80" t="str">
        <f>VLOOKUP(I69,SDDK!$C$6:$D$200,2,0)</f>
        <v>Thuốc nhuộm màu xanh đen C02</v>
      </c>
      <c r="N69" s="80" t="str">
        <f>VLOOKUP(J69,SDDK!$C$6:$D$200,2,0)</f>
        <v>Phải trả ngắn hạn Công ty TNHH Thiên Phú</v>
      </c>
    </row>
    <row r="70" spans="1:14" ht="12.75">
      <c r="A70" s="76" t="str">
        <f aca="true" t="shared" si="1" ref="A70:A133">F70</f>
        <v>17/10/2020</v>
      </c>
      <c r="B70" s="77"/>
      <c r="C70" s="77"/>
      <c r="D70" s="77" t="s">
        <v>546</v>
      </c>
      <c r="E70" s="78" t="s">
        <v>680</v>
      </c>
      <c r="F70" s="79" t="s">
        <v>1041</v>
      </c>
      <c r="G70" s="77" t="s">
        <v>797</v>
      </c>
      <c r="H70" s="77" t="s">
        <v>1080</v>
      </c>
      <c r="I70" s="81" t="s">
        <v>402</v>
      </c>
      <c r="J70" s="81" t="s">
        <v>470</v>
      </c>
      <c r="K70" s="82"/>
      <c r="L70" s="82">
        <v>12100000</v>
      </c>
      <c r="M70" s="80" t="str">
        <f>VLOOKUP(I70,SDDK!$C$6:$D$200,2,0)</f>
        <v>Thuế GTGT được khấu trừ của hàng hóa, dịch vụ</v>
      </c>
      <c r="N70" s="80" t="str">
        <f>VLOOKUP(J70,SDDK!$C$6:$D$200,2,0)</f>
        <v>Phải trả ngắn hạn Công ty TNHH Thiên Phú</v>
      </c>
    </row>
    <row r="71" spans="1:14" ht="12.75">
      <c r="A71" s="76" t="str">
        <f t="shared" si="1"/>
        <v>17/10/2020</v>
      </c>
      <c r="B71" s="77"/>
      <c r="C71" s="77" t="s">
        <v>241</v>
      </c>
      <c r="D71" s="77" t="s">
        <v>547</v>
      </c>
      <c r="E71" s="78" t="s">
        <v>681</v>
      </c>
      <c r="F71" s="79" t="s">
        <v>1041</v>
      </c>
      <c r="G71" s="77" t="s">
        <v>800</v>
      </c>
      <c r="H71" s="77" t="s">
        <v>1123</v>
      </c>
      <c r="I71" s="83" t="s">
        <v>427</v>
      </c>
      <c r="J71" s="81" t="s">
        <v>466</v>
      </c>
      <c r="K71" s="82">
        <v>1267</v>
      </c>
      <c r="L71" s="82">
        <f>1267*2200</f>
        <v>2787400</v>
      </c>
      <c r="M71" s="80" t="str">
        <f>VLOOKUP(I71,SDDK!$C$6:$D$200,2,0)</f>
        <v>Ốc vít, bù loong.</v>
      </c>
      <c r="N71" s="80" t="str">
        <f>VLOOKUP(J71,SDDK!$C$6:$D$200,2,0)</f>
        <v>Phải trả ngắn hạn Công ty CP Tân Tạo</v>
      </c>
    </row>
    <row r="72" spans="1:14" ht="12.75">
      <c r="A72" s="76" t="str">
        <f t="shared" si="1"/>
        <v>17/10/2020</v>
      </c>
      <c r="B72" s="77"/>
      <c r="C72" s="77"/>
      <c r="D72" s="77" t="s">
        <v>547</v>
      </c>
      <c r="E72" s="78" t="s">
        <v>681</v>
      </c>
      <c r="F72" s="79" t="s">
        <v>1041</v>
      </c>
      <c r="G72" s="77" t="s">
        <v>800</v>
      </c>
      <c r="H72" s="77" t="s">
        <v>1080</v>
      </c>
      <c r="I72" s="81" t="s">
        <v>402</v>
      </c>
      <c r="J72" s="81" t="s">
        <v>466</v>
      </c>
      <c r="K72" s="82"/>
      <c r="L72" s="82">
        <v>278740</v>
      </c>
      <c r="M72" s="80" t="str">
        <f>VLOOKUP(I72,SDDK!$C$6:$D$200,2,0)</f>
        <v>Thuế GTGT được khấu trừ của hàng hóa, dịch vụ</v>
      </c>
      <c r="N72" s="80" t="str">
        <f>VLOOKUP(J72,SDDK!$C$6:$D$200,2,0)</f>
        <v>Phải trả ngắn hạn Công ty CP Tân Tạo</v>
      </c>
    </row>
    <row r="73" spans="1:14" ht="12.75">
      <c r="A73" s="76" t="str">
        <f t="shared" si="1"/>
        <v>18/10/2020</v>
      </c>
      <c r="B73" s="77"/>
      <c r="C73" s="77" t="s">
        <v>242</v>
      </c>
      <c r="D73" s="77" t="s">
        <v>548</v>
      </c>
      <c r="E73" s="78" t="s">
        <v>682</v>
      </c>
      <c r="F73" s="79" t="s">
        <v>1042</v>
      </c>
      <c r="G73" s="77" t="s">
        <v>803</v>
      </c>
      <c r="H73" s="77" t="s">
        <v>1123</v>
      </c>
      <c r="I73" s="83" t="s">
        <v>427</v>
      </c>
      <c r="J73" s="81" t="s">
        <v>461</v>
      </c>
      <c r="K73" s="82">
        <v>40</v>
      </c>
      <c r="L73" s="82">
        <f>40*2230</f>
        <v>89200</v>
      </c>
      <c r="M73" s="80" t="str">
        <f>VLOOKUP(I73,SDDK!$C$6:$D$200,2,0)</f>
        <v>Ốc vít, bù loong.</v>
      </c>
      <c r="N73" s="80" t="str">
        <f>VLOOKUP(J73,SDDK!$C$6:$D$200,2,0)</f>
        <v>Phải trả ngắn hạn Công ty TNHH An Nam</v>
      </c>
    </row>
    <row r="74" spans="1:14" ht="12.75">
      <c r="A74" s="76" t="str">
        <f t="shared" si="1"/>
        <v>18/10/2020</v>
      </c>
      <c r="B74" s="77"/>
      <c r="C74" s="77"/>
      <c r="D74" s="77" t="s">
        <v>548</v>
      </c>
      <c r="E74" s="78" t="s">
        <v>682</v>
      </c>
      <c r="F74" s="79" t="s">
        <v>1042</v>
      </c>
      <c r="G74" s="77" t="s">
        <v>803</v>
      </c>
      <c r="H74" s="77" t="s">
        <v>1080</v>
      </c>
      <c r="I74" s="81" t="s">
        <v>402</v>
      </c>
      <c r="J74" s="81" t="s">
        <v>461</v>
      </c>
      <c r="K74" s="82"/>
      <c r="L74" s="82">
        <v>8920</v>
      </c>
      <c r="M74" s="80" t="str">
        <f>VLOOKUP(I74,SDDK!$C$6:$D$200,2,0)</f>
        <v>Thuế GTGT được khấu trừ của hàng hóa, dịch vụ</v>
      </c>
      <c r="N74" s="80" t="str">
        <f>VLOOKUP(J74,SDDK!$C$6:$D$200,2,0)</f>
        <v>Phải trả ngắn hạn Công ty TNHH An Nam</v>
      </c>
    </row>
    <row r="75" spans="1:14" ht="12.75">
      <c r="A75" s="76" t="str">
        <f t="shared" si="1"/>
        <v>18/10/2020</v>
      </c>
      <c r="B75" s="77"/>
      <c r="C75" s="77" t="s">
        <v>243</v>
      </c>
      <c r="D75" s="77" t="s">
        <v>549</v>
      </c>
      <c r="E75" s="78" t="s">
        <v>683</v>
      </c>
      <c r="F75" s="79" t="s">
        <v>1042</v>
      </c>
      <c r="G75" s="77" t="s">
        <v>798</v>
      </c>
      <c r="H75" s="77" t="s">
        <v>1121</v>
      </c>
      <c r="I75" s="83" t="s">
        <v>423</v>
      </c>
      <c r="J75" s="81" t="s">
        <v>467</v>
      </c>
      <c r="K75" s="82">
        <v>11190</v>
      </c>
      <c r="L75" s="82">
        <f>11190*19100</f>
        <v>213729000</v>
      </c>
      <c r="M75" s="80" t="str">
        <f>VLOOKUP(I75,SDDK!$C$6:$D$200,2,0)</f>
        <v>Sợi thun coton thô</v>
      </c>
      <c r="N75" s="80" t="str">
        <f>VLOOKUP(J75,SDDK!$C$6:$D$200,2,0)</f>
        <v>Phải trả ngắn hạn Công ty TNHH Vĩnh viễn</v>
      </c>
    </row>
    <row r="76" spans="1:14" ht="12.75">
      <c r="A76" s="76" t="str">
        <f t="shared" si="1"/>
        <v>18/10/2020</v>
      </c>
      <c r="B76" s="77"/>
      <c r="C76" s="77"/>
      <c r="D76" s="77" t="s">
        <v>549</v>
      </c>
      <c r="E76" s="78" t="s">
        <v>683</v>
      </c>
      <c r="F76" s="79" t="s">
        <v>1042</v>
      </c>
      <c r="G76" s="77" t="s">
        <v>798</v>
      </c>
      <c r="H76" s="77" t="s">
        <v>1080</v>
      </c>
      <c r="I76" s="81" t="s">
        <v>402</v>
      </c>
      <c r="J76" s="81" t="s">
        <v>467</v>
      </c>
      <c r="K76" s="82"/>
      <c r="L76" s="82">
        <v>21372900</v>
      </c>
      <c r="M76" s="80" t="str">
        <f>VLOOKUP(I76,SDDK!$C$6:$D$200,2,0)</f>
        <v>Thuế GTGT được khấu trừ của hàng hóa, dịch vụ</v>
      </c>
      <c r="N76" s="80" t="str">
        <f>VLOOKUP(J76,SDDK!$C$6:$D$200,2,0)</f>
        <v>Phải trả ngắn hạn Công ty TNHH Vĩnh viễn</v>
      </c>
    </row>
    <row r="77" spans="1:14" ht="12.75">
      <c r="A77" s="76" t="str">
        <f t="shared" si="1"/>
        <v>19/10/2020</v>
      </c>
      <c r="B77" s="77"/>
      <c r="C77" s="77" t="s">
        <v>244</v>
      </c>
      <c r="D77" s="77" t="s">
        <v>550</v>
      </c>
      <c r="E77" s="78" t="s">
        <v>684</v>
      </c>
      <c r="F77" s="79" t="s">
        <v>1043</v>
      </c>
      <c r="G77" s="77" t="s">
        <v>801</v>
      </c>
      <c r="H77" s="77" t="s">
        <v>1119</v>
      </c>
      <c r="I77" s="81" t="s">
        <v>763</v>
      </c>
      <c r="J77" s="81" t="s">
        <v>463</v>
      </c>
      <c r="K77" s="82">
        <v>210</v>
      </c>
      <c r="L77" s="82">
        <f>K77*247000</f>
        <v>51870000</v>
      </c>
      <c r="M77" s="80" t="str">
        <f>VLOOKUP(I77,SDDK!$C$6:$D$200,2,0)</f>
        <v>Kéo cắt vải</v>
      </c>
      <c r="N77" s="80" t="str">
        <f>VLOOKUP(J77,SDDK!$C$6:$D$200,2,0)</f>
        <v>Phải trả ngắn hạn Công ty Kinh Doanh Thép Việt</v>
      </c>
    </row>
    <row r="78" spans="1:14" ht="12.75">
      <c r="A78" s="76" t="str">
        <f t="shared" si="1"/>
        <v>19/10/2020</v>
      </c>
      <c r="B78" s="77"/>
      <c r="C78" s="77"/>
      <c r="D78" s="77" t="s">
        <v>550</v>
      </c>
      <c r="E78" s="78" t="s">
        <v>684</v>
      </c>
      <c r="F78" s="79" t="s">
        <v>1043</v>
      </c>
      <c r="G78" s="77" t="s">
        <v>801</v>
      </c>
      <c r="H78" s="77" t="s">
        <v>1080</v>
      </c>
      <c r="I78" s="81" t="s">
        <v>402</v>
      </c>
      <c r="J78" s="81" t="s">
        <v>463</v>
      </c>
      <c r="K78" s="82"/>
      <c r="L78" s="82">
        <f>L77*0.1</f>
        <v>5187000</v>
      </c>
      <c r="M78" s="80" t="str">
        <f>VLOOKUP(I78,SDDK!$C$6:$D$200,2,0)</f>
        <v>Thuế GTGT được khấu trừ của hàng hóa, dịch vụ</v>
      </c>
      <c r="N78" s="80" t="str">
        <f>VLOOKUP(J78,SDDK!$C$6:$D$200,2,0)</f>
        <v>Phải trả ngắn hạn Công ty Kinh Doanh Thép Việt</v>
      </c>
    </row>
    <row r="79" spans="1:14" ht="12.75">
      <c r="A79" s="76" t="str">
        <f t="shared" si="1"/>
        <v>19/10/2020</v>
      </c>
      <c r="B79" s="77"/>
      <c r="C79" s="77" t="s">
        <v>245</v>
      </c>
      <c r="D79" s="77" t="s">
        <v>551</v>
      </c>
      <c r="E79" s="78" t="s">
        <v>685</v>
      </c>
      <c r="F79" s="79" t="s">
        <v>1043</v>
      </c>
      <c r="G79" s="77" t="s">
        <v>799</v>
      </c>
      <c r="H79" s="77" t="s">
        <v>1120</v>
      </c>
      <c r="I79" s="81" t="s">
        <v>424</v>
      </c>
      <c r="J79" s="81" t="s">
        <v>465</v>
      </c>
      <c r="K79" s="82">
        <v>20000</v>
      </c>
      <c r="L79" s="82">
        <f>20000*11500</f>
        <v>230000000</v>
      </c>
      <c r="M79" s="80" t="str">
        <f>VLOOKUP(I79,SDDK!$C$6:$D$200,2,0)</f>
        <v>Thuốc nhuộm màu xanh đen C02</v>
      </c>
      <c r="N79" s="80" t="str">
        <f>VLOOKUP(J79,SDDK!$C$6:$D$200,2,0)</f>
        <v>Phải trả ngắn hạn Công ty TNHH Sen Hồng</v>
      </c>
    </row>
    <row r="80" spans="1:14" ht="12.75">
      <c r="A80" s="76" t="str">
        <f t="shared" si="1"/>
        <v>19/10/2020</v>
      </c>
      <c r="B80" s="77"/>
      <c r="C80" s="77"/>
      <c r="D80" s="77" t="s">
        <v>551</v>
      </c>
      <c r="E80" s="78" t="s">
        <v>685</v>
      </c>
      <c r="F80" s="79" t="s">
        <v>1043</v>
      </c>
      <c r="G80" s="77" t="s">
        <v>799</v>
      </c>
      <c r="H80" s="77" t="s">
        <v>1080</v>
      </c>
      <c r="I80" s="81" t="s">
        <v>402</v>
      </c>
      <c r="J80" s="81" t="s">
        <v>465</v>
      </c>
      <c r="K80" s="82"/>
      <c r="L80" s="82">
        <v>23000000</v>
      </c>
      <c r="M80" s="80" t="str">
        <f>VLOOKUP(I80,SDDK!$C$6:$D$200,2,0)</f>
        <v>Thuế GTGT được khấu trừ của hàng hóa, dịch vụ</v>
      </c>
      <c r="N80" s="80" t="str">
        <f>VLOOKUP(J80,SDDK!$C$6:$D$200,2,0)</f>
        <v>Phải trả ngắn hạn Công ty TNHH Sen Hồng</v>
      </c>
    </row>
    <row r="81" spans="1:14" ht="12.75">
      <c r="A81" s="76" t="str">
        <f t="shared" si="1"/>
        <v>20/10/2020</v>
      </c>
      <c r="B81" s="77"/>
      <c r="C81" s="77" t="s">
        <v>246</v>
      </c>
      <c r="D81" s="77" t="s">
        <v>552</v>
      </c>
      <c r="E81" s="78" t="s">
        <v>686</v>
      </c>
      <c r="F81" s="79" t="s">
        <v>1044</v>
      </c>
      <c r="G81" s="77" t="s">
        <v>811</v>
      </c>
      <c r="H81" s="77" t="s">
        <v>1122</v>
      </c>
      <c r="I81" s="83" t="s">
        <v>426</v>
      </c>
      <c r="J81" s="81" t="s">
        <v>464</v>
      </c>
      <c r="K81" s="82">
        <v>400</v>
      </c>
      <c r="L81" s="82">
        <f>400*16700</f>
        <v>6680000</v>
      </c>
      <c r="M81" s="80" t="str">
        <f>VLOOKUP(I81,SDDK!$C$6:$D$200,2,0)</f>
        <v>Nhiên liệu Dầu nhớt Deizel</v>
      </c>
      <c r="N81" s="80" t="str">
        <f>VLOOKUP(J81,SDDK!$C$6:$D$200,2,0)</f>
        <v>Phải trả ngắn hạn Công ty TNHH Quang Ngọc</v>
      </c>
    </row>
    <row r="82" spans="1:14" ht="12.75">
      <c r="A82" s="76" t="str">
        <f t="shared" si="1"/>
        <v>20/10/2020</v>
      </c>
      <c r="B82" s="77"/>
      <c r="C82" s="77"/>
      <c r="D82" s="77" t="s">
        <v>552</v>
      </c>
      <c r="E82" s="78" t="s">
        <v>686</v>
      </c>
      <c r="F82" s="79" t="s">
        <v>1044</v>
      </c>
      <c r="G82" s="77" t="s">
        <v>811</v>
      </c>
      <c r="H82" s="77" t="s">
        <v>1080</v>
      </c>
      <c r="I82" s="81" t="s">
        <v>402</v>
      </c>
      <c r="J82" s="81" t="s">
        <v>464</v>
      </c>
      <c r="K82" s="82"/>
      <c r="L82" s="82">
        <v>668000</v>
      </c>
      <c r="M82" s="80" t="str">
        <f>VLOOKUP(I82,SDDK!$C$6:$D$200,2,0)</f>
        <v>Thuế GTGT được khấu trừ của hàng hóa, dịch vụ</v>
      </c>
      <c r="N82" s="80" t="str">
        <f>VLOOKUP(J82,SDDK!$C$6:$D$200,2,0)</f>
        <v>Phải trả ngắn hạn Công ty TNHH Quang Ngọc</v>
      </c>
    </row>
    <row r="83" spans="1:14" ht="12.75">
      <c r="A83" s="76" t="str">
        <f t="shared" si="1"/>
        <v>20/10/2020</v>
      </c>
      <c r="B83" s="77"/>
      <c r="C83" s="77" t="s">
        <v>247</v>
      </c>
      <c r="D83" s="77" t="s">
        <v>553</v>
      </c>
      <c r="E83" s="78" t="s">
        <v>687</v>
      </c>
      <c r="F83" s="79" t="s">
        <v>1044</v>
      </c>
      <c r="G83" s="77" t="s">
        <v>802</v>
      </c>
      <c r="H83" s="77" t="s">
        <v>1121</v>
      </c>
      <c r="I83" s="83" t="s">
        <v>423</v>
      </c>
      <c r="J83" s="81" t="s">
        <v>462</v>
      </c>
      <c r="K83" s="82">
        <v>400</v>
      </c>
      <c r="L83" s="82">
        <f>400*19300</f>
        <v>7720000</v>
      </c>
      <c r="M83" s="80" t="str">
        <f>VLOOKUP(I83,SDDK!$C$6:$D$200,2,0)</f>
        <v>Sợi thun coton thô</v>
      </c>
      <c r="N83" s="80" t="str">
        <f>VLOOKUP(J83,SDDK!$C$6:$D$200,2,0)</f>
        <v>Phải trả ngắn hạn Công ty TNHH Tú Ngọc</v>
      </c>
    </row>
    <row r="84" spans="1:14" ht="12.75">
      <c r="A84" s="76" t="str">
        <f t="shared" si="1"/>
        <v>20/10/2020</v>
      </c>
      <c r="B84" s="77"/>
      <c r="C84" s="77"/>
      <c r="D84" s="77" t="s">
        <v>553</v>
      </c>
      <c r="E84" s="78" t="s">
        <v>687</v>
      </c>
      <c r="F84" s="79" t="s">
        <v>1044</v>
      </c>
      <c r="G84" s="77" t="s">
        <v>802</v>
      </c>
      <c r="H84" s="77" t="s">
        <v>1080</v>
      </c>
      <c r="I84" s="81" t="s">
        <v>402</v>
      </c>
      <c r="J84" s="81" t="s">
        <v>462</v>
      </c>
      <c r="K84" s="82"/>
      <c r="L84" s="82">
        <v>772000</v>
      </c>
      <c r="M84" s="80" t="str">
        <f>VLOOKUP(I84,SDDK!$C$6:$D$200,2,0)</f>
        <v>Thuế GTGT được khấu trừ của hàng hóa, dịch vụ</v>
      </c>
      <c r="N84" s="80" t="str">
        <f>VLOOKUP(J84,SDDK!$C$6:$D$200,2,0)</f>
        <v>Phải trả ngắn hạn Công ty TNHH Tú Ngọc</v>
      </c>
    </row>
    <row r="85" spans="1:14" ht="12.75">
      <c r="A85" s="76" t="str">
        <f t="shared" si="1"/>
        <v>20/10/2020</v>
      </c>
      <c r="B85" s="78"/>
      <c r="C85" s="77" t="s">
        <v>248</v>
      </c>
      <c r="D85" s="77"/>
      <c r="E85" s="78"/>
      <c r="F85" s="79" t="s">
        <v>1044</v>
      </c>
      <c r="G85" s="77" t="s">
        <v>649</v>
      </c>
      <c r="H85" s="77" t="s">
        <v>1124</v>
      </c>
      <c r="I85" s="81" t="s">
        <v>432</v>
      </c>
      <c r="J85" s="81" t="s">
        <v>429</v>
      </c>
      <c r="K85" s="82">
        <v>1000</v>
      </c>
      <c r="L85" s="82">
        <f>1000*390500</f>
        <v>390500000</v>
      </c>
      <c r="M85" s="80" t="str">
        <f>VLOOKUP(I85,SDDK!$C$6:$D$200,2,0)</f>
        <v>Vải thun coton</v>
      </c>
      <c r="N85" s="80" t="str">
        <f>VLOOKUP(J85,SDDK!$C$6:$D$200,2,0)</f>
        <v>Chi phí SXKD dở dang Vải thun coton (giá kế hoạch 4600)</v>
      </c>
    </row>
    <row r="86" spans="1:14" ht="12.75">
      <c r="A86" s="76" t="str">
        <f t="shared" si="1"/>
        <v>20/10/2020</v>
      </c>
      <c r="B86" s="78"/>
      <c r="C86" s="77" t="s">
        <v>249</v>
      </c>
      <c r="D86" s="77"/>
      <c r="E86" s="78"/>
      <c r="F86" s="79" t="s">
        <v>1044</v>
      </c>
      <c r="G86" s="77" t="s">
        <v>649</v>
      </c>
      <c r="H86" s="77" t="s">
        <v>1125</v>
      </c>
      <c r="I86" s="81" t="s">
        <v>433</v>
      </c>
      <c r="J86" s="81" t="s">
        <v>430</v>
      </c>
      <c r="K86" s="82">
        <v>1000</v>
      </c>
      <c r="L86" s="82">
        <f>1000*317500</f>
        <v>317500000</v>
      </c>
      <c r="M86" s="80" t="str">
        <f>VLOOKUP(I86,SDDK!$C$6:$D$200,2,0)</f>
        <v>Thảm lót chân</v>
      </c>
      <c r="N86" s="80" t="str">
        <f>VLOOKUP(J86,SDDK!$C$6:$D$200,2,0)</f>
        <v>Chi phí SXKD dở dang Thảm lót chân (giá kế hoạch 5500)</v>
      </c>
    </row>
    <row r="87" spans="1:14" ht="12.75">
      <c r="A87" s="76" t="str">
        <f t="shared" si="1"/>
        <v>20/10/2020</v>
      </c>
      <c r="B87" s="77"/>
      <c r="C87" s="77" t="s">
        <v>250</v>
      </c>
      <c r="D87" s="77"/>
      <c r="E87" s="78"/>
      <c r="F87" s="79" t="s">
        <v>1044</v>
      </c>
      <c r="G87" s="77" t="s">
        <v>649</v>
      </c>
      <c r="H87" s="77" t="s">
        <v>1126</v>
      </c>
      <c r="I87" s="81" t="s">
        <v>62</v>
      </c>
      <c r="J87" s="81" t="s">
        <v>432</v>
      </c>
      <c r="K87" s="82">
        <v>192</v>
      </c>
      <c r="L87" s="82">
        <f>192*392500</f>
        <v>75360000</v>
      </c>
      <c r="M87" s="80" t="str">
        <f>VLOOKUP(I87,SDDK!$C$6:$D$200,2,0)</f>
        <v>Giá vốn hàng bán</v>
      </c>
      <c r="N87" s="80" t="str">
        <f>VLOOKUP(J87,SDDK!$C$6:$D$200,2,0)</f>
        <v>Vải thun coton</v>
      </c>
    </row>
    <row r="88" spans="1:14" ht="12.75">
      <c r="A88" s="76" t="str">
        <f t="shared" si="1"/>
        <v>20/10/2020</v>
      </c>
      <c r="B88" s="77"/>
      <c r="C88" s="78"/>
      <c r="D88" s="77" t="s">
        <v>554</v>
      </c>
      <c r="E88" s="78" t="s">
        <v>687</v>
      </c>
      <c r="F88" s="79" t="s">
        <v>1044</v>
      </c>
      <c r="G88" s="77" t="s">
        <v>119</v>
      </c>
      <c r="H88" s="77" t="s">
        <v>1127</v>
      </c>
      <c r="I88" s="81" t="s">
        <v>390</v>
      </c>
      <c r="J88" s="81" t="s">
        <v>15</v>
      </c>
      <c r="K88" s="82">
        <v>192</v>
      </c>
      <c r="L88" s="82">
        <f>K88*500000</f>
        <v>96000000</v>
      </c>
      <c r="M88" s="80" t="str">
        <f>VLOOKUP(I88,SDDK!$C$6:$D$200,2,0)</f>
        <v>Phải thu ngắn hạn Xí Nghiệp LIDOVIT</v>
      </c>
      <c r="N88" s="80" t="str">
        <f>VLOOKUP(J88,SDDK!$C$6:$D$200,2,0)</f>
        <v>Doanh thu bán thành phẩm</v>
      </c>
    </row>
    <row r="89" spans="1:14" ht="12.75">
      <c r="A89" s="76" t="str">
        <f t="shared" si="1"/>
        <v>20/10/2020</v>
      </c>
      <c r="B89" s="77"/>
      <c r="C89" s="78"/>
      <c r="D89" s="77" t="s">
        <v>554</v>
      </c>
      <c r="E89" s="78" t="s">
        <v>687</v>
      </c>
      <c r="F89" s="79" t="s">
        <v>1044</v>
      </c>
      <c r="G89" s="77" t="s">
        <v>119</v>
      </c>
      <c r="H89" s="77" t="s">
        <v>1102</v>
      </c>
      <c r="I89" s="81" t="s">
        <v>390</v>
      </c>
      <c r="J89" s="81" t="s">
        <v>155</v>
      </c>
      <c r="K89" s="82"/>
      <c r="L89" s="82">
        <f>L88*0.1</f>
        <v>9600000</v>
      </c>
      <c r="M89" s="80" t="str">
        <f>VLOOKUP(I89,SDDK!$C$6:$D$200,2,0)</f>
        <v>Phải thu ngắn hạn Xí Nghiệp LIDOVIT</v>
      </c>
      <c r="N89" s="80" t="str">
        <f>VLOOKUP(J89,SDDK!$C$6:$D$200,2,0)</f>
        <v>Thuế GTGT đầu ra hoạt động kinh doanh</v>
      </c>
    </row>
    <row r="90" spans="1:14" ht="12.75">
      <c r="A90" s="76" t="str">
        <f t="shared" si="1"/>
        <v>21/10/2020</v>
      </c>
      <c r="B90" s="77"/>
      <c r="C90" s="77" t="s">
        <v>251</v>
      </c>
      <c r="D90" s="77"/>
      <c r="E90" s="78"/>
      <c r="F90" s="79" t="s">
        <v>1045</v>
      </c>
      <c r="G90" s="77" t="s">
        <v>649</v>
      </c>
      <c r="H90" s="77" t="s">
        <v>1128</v>
      </c>
      <c r="I90" s="81" t="s">
        <v>62</v>
      </c>
      <c r="J90" s="81" t="s">
        <v>432</v>
      </c>
      <c r="K90" s="82">
        <v>224</v>
      </c>
      <c r="L90" s="82">
        <f>224*392500</f>
        <v>87920000</v>
      </c>
      <c r="M90" s="80" t="str">
        <f>VLOOKUP(I90,SDDK!$C$6:$D$200,2,0)</f>
        <v>Giá vốn hàng bán</v>
      </c>
      <c r="N90" s="80" t="str">
        <f>VLOOKUP(J90,SDDK!$C$6:$D$200,2,0)</f>
        <v>Vải thun coton</v>
      </c>
    </row>
    <row r="91" spans="1:14" ht="12.75">
      <c r="A91" s="76" t="str">
        <f t="shared" si="1"/>
        <v>21/10/2020</v>
      </c>
      <c r="B91" s="77"/>
      <c r="C91" s="78"/>
      <c r="D91" s="77" t="s">
        <v>555</v>
      </c>
      <c r="E91" s="78" t="s">
        <v>688</v>
      </c>
      <c r="F91" s="79" t="s">
        <v>1045</v>
      </c>
      <c r="G91" s="77" t="s">
        <v>120</v>
      </c>
      <c r="H91" s="77" t="s">
        <v>1129</v>
      </c>
      <c r="I91" s="81" t="s">
        <v>391</v>
      </c>
      <c r="J91" s="81" t="s">
        <v>15</v>
      </c>
      <c r="K91" s="82">
        <v>224</v>
      </c>
      <c r="L91" s="82">
        <f>K91*520000</f>
        <v>116480000</v>
      </c>
      <c r="M91" s="80" t="str">
        <f>VLOOKUP(I91,SDDK!$C$6:$D$200,2,0)</f>
        <v>Phải thu ngắn hạn Công ty GEMARTRANS </v>
      </c>
      <c r="N91" s="80" t="str">
        <f>VLOOKUP(J91,SDDK!$C$6:$D$200,2,0)</f>
        <v>Doanh thu bán thành phẩm</v>
      </c>
    </row>
    <row r="92" spans="1:14" ht="12.75">
      <c r="A92" s="76" t="str">
        <f t="shared" si="1"/>
        <v>21/10/2020</v>
      </c>
      <c r="B92" s="78"/>
      <c r="C92" s="78"/>
      <c r="D92" s="77" t="s">
        <v>555</v>
      </c>
      <c r="E92" s="78" t="s">
        <v>688</v>
      </c>
      <c r="F92" s="79" t="s">
        <v>1045</v>
      </c>
      <c r="G92" s="77" t="s">
        <v>120</v>
      </c>
      <c r="H92" s="77" t="s">
        <v>1102</v>
      </c>
      <c r="I92" s="81" t="s">
        <v>391</v>
      </c>
      <c r="J92" s="81" t="s">
        <v>155</v>
      </c>
      <c r="K92" s="82"/>
      <c r="L92" s="82">
        <f>L91*0.1</f>
        <v>11648000</v>
      </c>
      <c r="M92" s="80" t="str">
        <f>VLOOKUP(I92,SDDK!$C$6:$D$200,2,0)</f>
        <v>Phải thu ngắn hạn Công ty GEMARTRANS </v>
      </c>
      <c r="N92" s="80" t="str">
        <f>VLOOKUP(J92,SDDK!$C$6:$D$200,2,0)</f>
        <v>Thuế GTGT đầu ra hoạt động kinh doanh</v>
      </c>
    </row>
    <row r="93" spans="1:14" ht="12.75">
      <c r="A93" s="76" t="str">
        <f t="shared" si="1"/>
        <v>22/10/2020</v>
      </c>
      <c r="B93" s="78"/>
      <c r="C93" s="77" t="s">
        <v>252</v>
      </c>
      <c r="D93" s="77"/>
      <c r="E93" s="78"/>
      <c r="F93" s="79" t="s">
        <v>1046</v>
      </c>
      <c r="G93" s="77" t="s">
        <v>649</v>
      </c>
      <c r="H93" s="77" t="s">
        <v>1130</v>
      </c>
      <c r="I93" s="81" t="s">
        <v>62</v>
      </c>
      <c r="J93" s="81" t="s">
        <v>433</v>
      </c>
      <c r="K93" s="82">
        <v>200</v>
      </c>
      <c r="L93" s="82">
        <f>200*317545</f>
        <v>63509000</v>
      </c>
      <c r="M93" s="80" t="str">
        <f>VLOOKUP(I93,SDDK!$C$6:$D$200,2,0)</f>
        <v>Giá vốn hàng bán</v>
      </c>
      <c r="N93" s="80" t="str">
        <f>VLOOKUP(J93,SDDK!$C$6:$D$200,2,0)</f>
        <v>Thảm lót chân</v>
      </c>
    </row>
    <row r="94" spans="1:14" ht="12.75">
      <c r="A94" s="76" t="str">
        <f t="shared" si="1"/>
        <v>22/10/2020</v>
      </c>
      <c r="B94" s="78"/>
      <c r="C94" s="78"/>
      <c r="D94" s="77" t="s">
        <v>556</v>
      </c>
      <c r="E94" s="78" t="s">
        <v>689</v>
      </c>
      <c r="F94" s="79" t="s">
        <v>1046</v>
      </c>
      <c r="G94" s="77" t="s">
        <v>1047</v>
      </c>
      <c r="H94" s="77" t="s">
        <v>1131</v>
      </c>
      <c r="I94" s="81" t="s">
        <v>401</v>
      </c>
      <c r="J94" s="81" t="s">
        <v>15</v>
      </c>
      <c r="K94" s="82">
        <v>200</v>
      </c>
      <c r="L94" s="82">
        <f>K94*390000</f>
        <v>78000000</v>
      </c>
      <c r="M94" s="80" t="str">
        <f>VLOOKUP(I94,SDDK!$C$6:$D$200,2,0)</f>
        <v>Phải thu dài hạn Công ty CP Hoa Sen</v>
      </c>
      <c r="N94" s="80" t="str">
        <f>VLOOKUP(J94,SDDK!$C$6:$D$200,2,0)</f>
        <v>Doanh thu bán thành phẩm</v>
      </c>
    </row>
    <row r="95" spans="1:14" ht="12.75">
      <c r="A95" s="76" t="str">
        <f t="shared" si="1"/>
        <v>22/10/2020</v>
      </c>
      <c r="B95" s="78"/>
      <c r="C95" s="78"/>
      <c r="D95" s="77" t="s">
        <v>556</v>
      </c>
      <c r="E95" s="78" t="s">
        <v>689</v>
      </c>
      <c r="F95" s="79" t="s">
        <v>1046</v>
      </c>
      <c r="G95" s="77" t="s">
        <v>1047</v>
      </c>
      <c r="H95" s="77" t="s">
        <v>1102</v>
      </c>
      <c r="I95" s="81" t="s">
        <v>401</v>
      </c>
      <c r="J95" s="81" t="s">
        <v>155</v>
      </c>
      <c r="K95" s="82"/>
      <c r="L95" s="82">
        <f>L94*0.05</f>
        <v>3900000</v>
      </c>
      <c r="M95" s="80" t="str">
        <f>VLOOKUP(I95,SDDK!$C$6:$D$200,2,0)</f>
        <v>Phải thu dài hạn Công ty CP Hoa Sen</v>
      </c>
      <c r="N95" s="80" t="str">
        <f>VLOOKUP(J95,SDDK!$C$6:$D$200,2,0)</f>
        <v>Thuế GTGT đầu ra hoạt động kinh doanh</v>
      </c>
    </row>
    <row r="96" spans="1:14" ht="12.75">
      <c r="A96" s="76" t="str">
        <f t="shared" si="1"/>
        <v>23/10/2020</v>
      </c>
      <c r="B96" s="78"/>
      <c r="C96" s="77" t="s">
        <v>253</v>
      </c>
      <c r="D96" s="77"/>
      <c r="E96" s="78"/>
      <c r="F96" s="79" t="s">
        <v>1048</v>
      </c>
      <c r="G96" s="77" t="s">
        <v>649</v>
      </c>
      <c r="H96" s="77" t="s">
        <v>1132</v>
      </c>
      <c r="I96" s="81" t="s">
        <v>62</v>
      </c>
      <c r="J96" s="81" t="s">
        <v>432</v>
      </c>
      <c r="K96" s="82">
        <v>48</v>
      </c>
      <c r="L96" s="82">
        <f>48*392500</f>
        <v>18840000</v>
      </c>
      <c r="M96" s="80" t="str">
        <f>VLOOKUP(I96,SDDK!$C$6:$D$200,2,0)</f>
        <v>Giá vốn hàng bán</v>
      </c>
      <c r="N96" s="80" t="str">
        <f>VLOOKUP(J96,SDDK!$C$6:$D$200,2,0)</f>
        <v>Vải thun coton</v>
      </c>
    </row>
    <row r="97" spans="1:14" ht="12.75">
      <c r="A97" s="76" t="str">
        <f t="shared" si="1"/>
        <v>23/10/2020</v>
      </c>
      <c r="B97" s="78"/>
      <c r="C97" s="78"/>
      <c r="D97" s="77" t="s">
        <v>557</v>
      </c>
      <c r="E97" s="78" t="s">
        <v>690</v>
      </c>
      <c r="F97" s="79" t="s">
        <v>1048</v>
      </c>
      <c r="G97" s="77" t="s">
        <v>254</v>
      </c>
      <c r="H97" s="77" t="s">
        <v>1133</v>
      </c>
      <c r="I97" s="81" t="s">
        <v>388</v>
      </c>
      <c r="J97" s="81" t="s">
        <v>15</v>
      </c>
      <c r="K97" s="82">
        <v>48</v>
      </c>
      <c r="L97" s="82">
        <f>K97*510000</f>
        <v>24480000</v>
      </c>
      <c r="M97" s="80" t="str">
        <f>VLOOKUP(I97,SDDK!$C$6:$D$200,2,0)</f>
        <v>Phải thu ngắn hạn Công ty Metro</v>
      </c>
      <c r="N97" s="80" t="str">
        <f>VLOOKUP(J97,SDDK!$C$6:$D$200,2,0)</f>
        <v>Doanh thu bán thành phẩm</v>
      </c>
    </row>
    <row r="98" spans="1:14" ht="12.75">
      <c r="A98" s="76" t="str">
        <f t="shared" si="1"/>
        <v>23/10/2020</v>
      </c>
      <c r="B98" s="78"/>
      <c r="C98" s="78"/>
      <c r="D98" s="77" t="s">
        <v>557</v>
      </c>
      <c r="E98" s="78" t="s">
        <v>690</v>
      </c>
      <c r="F98" s="79" t="s">
        <v>1048</v>
      </c>
      <c r="G98" s="77" t="s">
        <v>254</v>
      </c>
      <c r="H98" s="77" t="s">
        <v>1102</v>
      </c>
      <c r="I98" s="81" t="s">
        <v>388</v>
      </c>
      <c r="J98" s="81" t="s">
        <v>155</v>
      </c>
      <c r="K98" s="82"/>
      <c r="L98" s="82">
        <f>L97*0.1</f>
        <v>2448000</v>
      </c>
      <c r="M98" s="80" t="str">
        <f>VLOOKUP(I98,SDDK!$C$6:$D$200,2,0)</f>
        <v>Phải thu ngắn hạn Công ty Metro</v>
      </c>
      <c r="N98" s="80" t="str">
        <f>VLOOKUP(J98,SDDK!$C$6:$D$200,2,0)</f>
        <v>Thuế GTGT đầu ra hoạt động kinh doanh</v>
      </c>
    </row>
    <row r="99" spans="1:14" ht="12.75">
      <c r="A99" s="76" t="str">
        <f t="shared" si="1"/>
        <v>24/10/2020</v>
      </c>
      <c r="B99" s="78"/>
      <c r="C99" s="77" t="s">
        <v>255</v>
      </c>
      <c r="D99" s="77"/>
      <c r="E99" s="78"/>
      <c r="F99" s="79" t="s">
        <v>1049</v>
      </c>
      <c r="G99" s="77" t="s">
        <v>649</v>
      </c>
      <c r="H99" s="77" t="s">
        <v>1134</v>
      </c>
      <c r="I99" s="81" t="s">
        <v>62</v>
      </c>
      <c r="J99" s="81" t="s">
        <v>432</v>
      </c>
      <c r="K99" s="82">
        <v>296</v>
      </c>
      <c r="L99" s="82">
        <f>296*392500</f>
        <v>116180000</v>
      </c>
      <c r="M99" s="80" t="str">
        <f>VLOOKUP(I99,SDDK!$C$6:$D$200,2,0)</f>
        <v>Giá vốn hàng bán</v>
      </c>
      <c r="N99" s="80" t="str">
        <f>VLOOKUP(J99,SDDK!$C$6:$D$200,2,0)</f>
        <v>Vải thun coton</v>
      </c>
    </row>
    <row r="100" spans="1:14" ht="12.75">
      <c r="A100" s="76" t="str">
        <f t="shared" si="1"/>
        <v>24/10/2020</v>
      </c>
      <c r="B100" s="78"/>
      <c r="C100" s="78"/>
      <c r="D100" s="77" t="s">
        <v>558</v>
      </c>
      <c r="E100" s="78" t="s">
        <v>691</v>
      </c>
      <c r="F100" s="79" t="s">
        <v>1049</v>
      </c>
      <c r="G100" s="77" t="s">
        <v>120</v>
      </c>
      <c r="H100" s="77" t="s">
        <v>1135</v>
      </c>
      <c r="I100" s="81" t="s">
        <v>391</v>
      </c>
      <c r="J100" s="81" t="s">
        <v>15</v>
      </c>
      <c r="K100" s="82">
        <v>296</v>
      </c>
      <c r="L100" s="82">
        <f>K100*500000</f>
        <v>148000000</v>
      </c>
      <c r="M100" s="80" t="str">
        <f>VLOOKUP(I100,SDDK!$C$6:$D$200,2,0)</f>
        <v>Phải thu ngắn hạn Công ty GEMARTRANS </v>
      </c>
      <c r="N100" s="80" t="str">
        <f>VLOOKUP(J100,SDDK!$C$6:$D$200,2,0)</f>
        <v>Doanh thu bán thành phẩm</v>
      </c>
    </row>
    <row r="101" spans="1:14" ht="12.75">
      <c r="A101" s="76" t="str">
        <f t="shared" si="1"/>
        <v>24/10/2020</v>
      </c>
      <c r="B101" s="78"/>
      <c r="C101" s="78"/>
      <c r="D101" s="77" t="s">
        <v>558</v>
      </c>
      <c r="E101" s="78" t="s">
        <v>691</v>
      </c>
      <c r="F101" s="79" t="s">
        <v>1049</v>
      </c>
      <c r="G101" s="77" t="s">
        <v>120</v>
      </c>
      <c r="H101" s="77" t="s">
        <v>1102</v>
      </c>
      <c r="I101" s="81" t="s">
        <v>391</v>
      </c>
      <c r="J101" s="81" t="s">
        <v>155</v>
      </c>
      <c r="K101" s="82"/>
      <c r="L101" s="82">
        <f>L100*0.1</f>
        <v>14800000</v>
      </c>
      <c r="M101" s="80" t="str">
        <f>VLOOKUP(I101,SDDK!$C$6:$D$200,2,0)</f>
        <v>Phải thu ngắn hạn Công ty GEMARTRANS </v>
      </c>
      <c r="N101" s="80" t="str">
        <f>VLOOKUP(J101,SDDK!$C$6:$D$200,2,0)</f>
        <v>Thuế GTGT đầu ra hoạt động kinh doanh</v>
      </c>
    </row>
    <row r="102" spans="1:14" ht="12.75">
      <c r="A102" s="76" t="str">
        <f t="shared" si="1"/>
        <v>24/10/2020</v>
      </c>
      <c r="B102" s="78"/>
      <c r="C102" s="77" t="s">
        <v>256</v>
      </c>
      <c r="D102" s="77"/>
      <c r="E102" s="78"/>
      <c r="F102" s="79" t="s">
        <v>1049</v>
      </c>
      <c r="G102" s="77" t="s">
        <v>649</v>
      </c>
      <c r="H102" s="77" t="s">
        <v>1136</v>
      </c>
      <c r="I102" s="81" t="s">
        <v>62</v>
      </c>
      <c r="J102" s="81" t="s">
        <v>432</v>
      </c>
      <c r="K102" s="82">
        <v>150</v>
      </c>
      <c r="L102" s="82">
        <f>150*392500</f>
        <v>58875000</v>
      </c>
      <c r="M102" s="80" t="str">
        <f>VLOOKUP(I102,SDDK!$C$6:$D$200,2,0)</f>
        <v>Giá vốn hàng bán</v>
      </c>
      <c r="N102" s="80" t="str">
        <f>VLOOKUP(J102,SDDK!$C$6:$D$200,2,0)</f>
        <v>Vải thun coton</v>
      </c>
    </row>
    <row r="103" spans="1:14" ht="12.75">
      <c r="A103" s="76" t="str">
        <f t="shared" si="1"/>
        <v>24/10/2020</v>
      </c>
      <c r="B103" s="78"/>
      <c r="C103" s="78"/>
      <c r="D103" s="77" t="s">
        <v>559</v>
      </c>
      <c r="E103" s="78" t="s">
        <v>692</v>
      </c>
      <c r="F103" s="79" t="s">
        <v>1049</v>
      </c>
      <c r="G103" s="77" t="s">
        <v>1050</v>
      </c>
      <c r="H103" s="77" t="s">
        <v>1137</v>
      </c>
      <c r="I103" s="81" t="s">
        <v>392</v>
      </c>
      <c r="J103" s="81" t="s">
        <v>15</v>
      </c>
      <c r="K103" s="82">
        <v>150</v>
      </c>
      <c r="L103" s="82">
        <f>K103*520000</f>
        <v>78000000</v>
      </c>
      <c r="M103" s="80" t="str">
        <f>VLOOKUP(I103,SDDK!$C$6:$D$200,2,0)</f>
        <v>Phải thu ngắn hạn Công ty TNHH Hoàng Anh</v>
      </c>
      <c r="N103" s="80" t="str">
        <f>VLOOKUP(J103,SDDK!$C$6:$D$200,2,0)</f>
        <v>Doanh thu bán thành phẩm</v>
      </c>
    </row>
    <row r="104" spans="1:14" ht="12.75">
      <c r="A104" s="76" t="str">
        <f t="shared" si="1"/>
        <v>24/10/2020</v>
      </c>
      <c r="B104" s="78"/>
      <c r="C104" s="78"/>
      <c r="D104" s="77" t="s">
        <v>559</v>
      </c>
      <c r="E104" s="78" t="s">
        <v>692</v>
      </c>
      <c r="F104" s="79" t="s">
        <v>1049</v>
      </c>
      <c r="G104" s="77" t="s">
        <v>1050</v>
      </c>
      <c r="H104" s="77" t="s">
        <v>1102</v>
      </c>
      <c r="I104" s="81" t="s">
        <v>392</v>
      </c>
      <c r="J104" s="81" t="s">
        <v>155</v>
      </c>
      <c r="K104" s="82"/>
      <c r="L104" s="82">
        <f>L103*0.1</f>
        <v>7800000</v>
      </c>
      <c r="M104" s="80" t="str">
        <f>VLOOKUP(I104,SDDK!$C$6:$D$200,2,0)</f>
        <v>Phải thu ngắn hạn Công ty TNHH Hoàng Anh</v>
      </c>
      <c r="N104" s="80" t="str">
        <f>VLOOKUP(J104,SDDK!$C$6:$D$200,2,0)</f>
        <v>Thuế GTGT đầu ra hoạt động kinh doanh</v>
      </c>
    </row>
    <row r="105" spans="1:14" ht="12.75">
      <c r="A105" s="76" t="str">
        <f t="shared" si="1"/>
        <v>24/10/2020</v>
      </c>
      <c r="B105" s="78"/>
      <c r="C105" s="77" t="s">
        <v>257</v>
      </c>
      <c r="D105" s="77"/>
      <c r="E105" s="78" t="s">
        <v>693</v>
      </c>
      <c r="F105" s="79" t="s">
        <v>1049</v>
      </c>
      <c r="G105" s="77" t="s">
        <v>649</v>
      </c>
      <c r="H105" s="77" t="s">
        <v>1138</v>
      </c>
      <c r="I105" s="81" t="s">
        <v>760</v>
      </c>
      <c r="J105" s="81" t="s">
        <v>432</v>
      </c>
      <c r="K105" s="82">
        <v>100</v>
      </c>
      <c r="L105" s="82">
        <f>K105*392500</f>
        <v>39250000</v>
      </c>
      <c r="M105" s="80" t="str">
        <f>VLOOKUP(I105,SDDK!$C$6:$D$200,2,0)</f>
        <v>Đầu tư ngắn hạn khác</v>
      </c>
      <c r="N105" s="80" t="str">
        <f>VLOOKUP(J105,SDDK!$C$6:$D$200,2,0)</f>
        <v>Vải thun coton</v>
      </c>
    </row>
    <row r="106" spans="1:14" ht="12.75">
      <c r="A106" s="76" t="str">
        <f t="shared" si="1"/>
        <v>24/10/2020</v>
      </c>
      <c r="B106" s="77" t="s">
        <v>258</v>
      </c>
      <c r="C106" s="78"/>
      <c r="D106" s="78"/>
      <c r="E106" s="78" t="s">
        <v>693</v>
      </c>
      <c r="F106" s="79" t="s">
        <v>1049</v>
      </c>
      <c r="G106" s="77" t="s">
        <v>187</v>
      </c>
      <c r="H106" s="77" t="s">
        <v>1139</v>
      </c>
      <c r="I106" s="81" t="s">
        <v>760</v>
      </c>
      <c r="J106" s="81" t="s">
        <v>371</v>
      </c>
      <c r="K106" s="82"/>
      <c r="L106" s="82">
        <f>50000000-L105</f>
        <v>10750000</v>
      </c>
      <c r="M106" s="80" t="str">
        <f>VLOOKUP(I106,SDDK!$C$6:$D$200,2,0)</f>
        <v>Đầu tư ngắn hạn khác</v>
      </c>
      <c r="N106" s="80" t="str">
        <f>VLOOKUP(J106,SDDK!$C$6:$D$200,2,0)</f>
        <v>Tiền mặt tại quỹ, ngân phiếu (VNĐ)</v>
      </c>
    </row>
    <row r="107" spans="1:14" ht="12.75">
      <c r="A107" s="76" t="str">
        <f t="shared" si="1"/>
        <v>25/10/2020</v>
      </c>
      <c r="B107" s="77"/>
      <c r="C107" s="77" t="s">
        <v>259</v>
      </c>
      <c r="D107" s="77"/>
      <c r="E107" s="78"/>
      <c r="F107" s="79" t="s">
        <v>1051</v>
      </c>
      <c r="G107" s="77" t="s">
        <v>649</v>
      </c>
      <c r="H107" s="77" t="s">
        <v>1140</v>
      </c>
      <c r="I107" s="81" t="s">
        <v>62</v>
      </c>
      <c r="J107" s="81" t="s">
        <v>432</v>
      </c>
      <c r="K107" s="82">
        <v>144</v>
      </c>
      <c r="L107" s="82">
        <f>144*392500</f>
        <v>56520000</v>
      </c>
      <c r="M107" s="80" t="str">
        <f>VLOOKUP(I107,SDDK!$C$6:$D$200,2,0)</f>
        <v>Giá vốn hàng bán</v>
      </c>
      <c r="N107" s="80" t="str">
        <f>VLOOKUP(J107,SDDK!$C$6:$D$200,2,0)</f>
        <v>Vải thun coton</v>
      </c>
    </row>
    <row r="108" spans="1:14" ht="12.75">
      <c r="A108" s="76" t="str">
        <f t="shared" si="1"/>
        <v>25/10/2020</v>
      </c>
      <c r="B108" s="78"/>
      <c r="C108" s="78"/>
      <c r="D108" s="77" t="s">
        <v>560</v>
      </c>
      <c r="E108" s="78" t="s">
        <v>694</v>
      </c>
      <c r="F108" s="79" t="s">
        <v>1051</v>
      </c>
      <c r="G108" s="1" t="s">
        <v>1052</v>
      </c>
      <c r="H108" s="77" t="s">
        <v>1141</v>
      </c>
      <c r="I108" s="81" t="s">
        <v>393</v>
      </c>
      <c r="J108" s="81" t="s">
        <v>15</v>
      </c>
      <c r="K108" s="82">
        <v>144</v>
      </c>
      <c r="L108" s="82">
        <f>K108*520000</f>
        <v>74880000</v>
      </c>
      <c r="M108" s="80" t="str">
        <f>VLOOKUP(I108,SDDK!$C$6:$D$200,2,0)</f>
        <v>Phải thu ngắn hạn Công ty TNHH Hồng Ký</v>
      </c>
      <c r="N108" s="80" t="str">
        <f>VLOOKUP(J108,SDDK!$C$6:$D$200,2,0)</f>
        <v>Doanh thu bán thành phẩm</v>
      </c>
    </row>
    <row r="109" spans="1:14" ht="12.75">
      <c r="A109" s="76" t="str">
        <f t="shared" si="1"/>
        <v>25/10/2020</v>
      </c>
      <c r="B109" s="78"/>
      <c r="C109" s="78"/>
      <c r="D109" s="77" t="s">
        <v>560</v>
      </c>
      <c r="E109" s="78" t="s">
        <v>694</v>
      </c>
      <c r="F109" s="79" t="s">
        <v>1051</v>
      </c>
      <c r="G109" s="1" t="s">
        <v>1052</v>
      </c>
      <c r="H109" s="77" t="s">
        <v>1102</v>
      </c>
      <c r="I109" s="81" t="s">
        <v>393</v>
      </c>
      <c r="J109" s="81" t="s">
        <v>155</v>
      </c>
      <c r="K109" s="82"/>
      <c r="L109" s="82">
        <f>L108*0.1</f>
        <v>7488000</v>
      </c>
      <c r="M109" s="80" t="str">
        <f>VLOOKUP(I109,SDDK!$C$6:$D$200,2,0)</f>
        <v>Phải thu ngắn hạn Công ty TNHH Hồng Ký</v>
      </c>
      <c r="N109" s="80" t="str">
        <f>VLOOKUP(J109,SDDK!$C$6:$D$200,2,0)</f>
        <v>Thuế GTGT đầu ra hoạt động kinh doanh</v>
      </c>
    </row>
    <row r="110" spans="1:14" ht="12.75">
      <c r="A110" s="76" t="str">
        <f t="shared" si="1"/>
        <v>25/10/2020</v>
      </c>
      <c r="B110" s="77"/>
      <c r="C110" s="78"/>
      <c r="D110" s="77" t="s">
        <v>561</v>
      </c>
      <c r="E110" s="77" t="s">
        <v>721</v>
      </c>
      <c r="F110" s="79" t="s">
        <v>1051</v>
      </c>
      <c r="G110" s="77" t="s">
        <v>794</v>
      </c>
      <c r="H110" s="77" t="s">
        <v>1142</v>
      </c>
      <c r="I110" s="81" t="s">
        <v>460</v>
      </c>
      <c r="J110" s="81" t="s">
        <v>374</v>
      </c>
      <c r="K110" s="82"/>
      <c r="L110" s="82">
        <v>5000000</v>
      </c>
      <c r="M110" s="80" t="str">
        <f>VLOOKUP(I110,SDDK!$C$6:$D$200,2,0)</f>
        <v>Phải trả ngắn hạn Công ty TNHH Mỹ Lệ</v>
      </c>
      <c r="N110" s="80" t="str">
        <f>VLOOKUP(J110,SDDK!$C$6:$D$200,2,0)</f>
        <v>Tiền gửi ngân hàng (VNĐ)</v>
      </c>
    </row>
    <row r="111" spans="1:14" ht="12.75">
      <c r="A111" s="76" t="str">
        <f t="shared" si="1"/>
        <v>25/10/2020</v>
      </c>
      <c r="B111" s="77"/>
      <c r="C111" s="78"/>
      <c r="D111" s="77" t="s">
        <v>562</v>
      </c>
      <c r="E111" s="77" t="s">
        <v>722</v>
      </c>
      <c r="F111" s="79" t="s">
        <v>1051</v>
      </c>
      <c r="G111" s="1" t="s">
        <v>1053</v>
      </c>
      <c r="H111" s="77" t="s">
        <v>1143</v>
      </c>
      <c r="I111" s="81" t="s">
        <v>374</v>
      </c>
      <c r="J111" s="81" t="s">
        <v>389</v>
      </c>
      <c r="K111" s="82"/>
      <c r="L111" s="82">
        <v>9000000</v>
      </c>
      <c r="M111" s="80" t="str">
        <f>VLOOKUP(I111,SDDK!$C$6:$D$200,2,0)</f>
        <v>Tiền gửi ngân hàng (VNĐ)</v>
      </c>
      <c r="N111" s="80" t="str">
        <f>VLOOKUP(J111,SDDK!$C$6:$D$200,2,0)</f>
        <v>Phải thu ngắn hạn Công ty TNHH Minh Long</v>
      </c>
    </row>
    <row r="112" spans="1:14" ht="12.75">
      <c r="A112" s="76" t="str">
        <f t="shared" si="1"/>
        <v>25/10/2020</v>
      </c>
      <c r="B112" s="78"/>
      <c r="C112" s="77" t="s">
        <v>260</v>
      </c>
      <c r="D112" s="77"/>
      <c r="E112" s="78"/>
      <c r="F112" s="79" t="s">
        <v>1051</v>
      </c>
      <c r="G112" s="77" t="s">
        <v>649</v>
      </c>
      <c r="H112" s="77" t="s">
        <v>1144</v>
      </c>
      <c r="I112" s="81" t="s">
        <v>27</v>
      </c>
      <c r="J112" s="81" t="s">
        <v>424</v>
      </c>
      <c r="K112" s="82">
        <v>20000</v>
      </c>
      <c r="L112" s="82">
        <f>K112*10651</f>
        <v>213020000</v>
      </c>
      <c r="M112" s="80" t="str">
        <f>VLOOKUP(I112,SDDK!$C$6:$D$200,2,0)</f>
        <v>Chi phí NVL trực tiếp cho Thảm lót chân</v>
      </c>
      <c r="N112" s="80" t="str">
        <f>VLOOKUP(J112,SDDK!$C$6:$D$200,2,0)</f>
        <v>Thuốc nhuộm màu xanh đen C02</v>
      </c>
    </row>
    <row r="113" spans="1:14" ht="12.75">
      <c r="A113" s="76" t="str">
        <f t="shared" si="1"/>
        <v>25/10/2020</v>
      </c>
      <c r="B113" s="78"/>
      <c r="C113" s="77" t="s">
        <v>260</v>
      </c>
      <c r="D113" s="77"/>
      <c r="E113" s="78"/>
      <c r="F113" s="79" t="s">
        <v>1051</v>
      </c>
      <c r="G113" s="77" t="s">
        <v>649</v>
      </c>
      <c r="H113" s="77" t="s">
        <v>1145</v>
      </c>
      <c r="I113" s="81" t="s">
        <v>29</v>
      </c>
      <c r="J113" s="81" t="s">
        <v>424</v>
      </c>
      <c r="K113" s="82">
        <v>2550</v>
      </c>
      <c r="L113" s="82">
        <f>K113*10651</f>
        <v>27160050</v>
      </c>
      <c r="M113" s="80" t="str">
        <f>VLOOKUP(I113,SDDK!$C$6:$D$200,2,0)</f>
        <v>Chi phí NVL trực tiếp cho Dịch vụ sửa chữa</v>
      </c>
      <c r="N113" s="80" t="str">
        <f>VLOOKUP(J113,SDDK!$C$6:$D$200,2,0)</f>
        <v>Thuốc nhuộm màu xanh đen C02</v>
      </c>
    </row>
    <row r="114" spans="1:14" ht="12.75">
      <c r="A114" s="76" t="str">
        <f t="shared" si="1"/>
        <v>25/10/2020</v>
      </c>
      <c r="B114" s="78"/>
      <c r="C114" s="77" t="s">
        <v>260</v>
      </c>
      <c r="D114" s="77"/>
      <c r="E114" s="78"/>
      <c r="F114" s="79" t="s">
        <v>1051</v>
      </c>
      <c r="G114" s="77" t="s">
        <v>649</v>
      </c>
      <c r="H114" s="77" t="s">
        <v>1146</v>
      </c>
      <c r="I114" s="81" t="s">
        <v>27</v>
      </c>
      <c r="J114" s="83" t="s">
        <v>423</v>
      </c>
      <c r="K114" s="82">
        <v>14500</v>
      </c>
      <c r="L114" s="82">
        <f>14500*18585</f>
        <v>269482500</v>
      </c>
      <c r="M114" s="80" t="str">
        <f>VLOOKUP(I114,SDDK!$C$6:$D$200,2,0)</f>
        <v>Chi phí NVL trực tiếp cho Thảm lót chân</v>
      </c>
      <c r="N114" s="80" t="str">
        <f>VLOOKUP(J114,SDDK!$C$6:$D$200,2,0)</f>
        <v>Sợi thun coton thô</v>
      </c>
    </row>
    <row r="115" spans="1:14" ht="12.75">
      <c r="A115" s="76" t="str">
        <f t="shared" si="1"/>
        <v>25/10/2020</v>
      </c>
      <c r="B115" s="78"/>
      <c r="C115" s="77" t="s">
        <v>263</v>
      </c>
      <c r="D115" s="77"/>
      <c r="E115" s="78"/>
      <c r="F115" s="79" t="s">
        <v>1051</v>
      </c>
      <c r="G115" s="77" t="s">
        <v>649</v>
      </c>
      <c r="H115" s="77" t="s">
        <v>1147</v>
      </c>
      <c r="I115" s="81" t="s">
        <v>38</v>
      </c>
      <c r="J115" s="81" t="s">
        <v>424</v>
      </c>
      <c r="K115" s="82">
        <v>510</v>
      </c>
      <c r="L115" s="82">
        <f>K115*10651</f>
        <v>5432010</v>
      </c>
      <c r="M115" s="80" t="str">
        <f>VLOOKUP(I115,SDDK!$C$6:$D$200,2,0)</f>
        <v>Chi phí nguyên vật liệu  PX1</v>
      </c>
      <c r="N115" s="80" t="str">
        <f>VLOOKUP(J115,SDDK!$C$6:$D$200,2,0)</f>
        <v>Thuốc nhuộm màu xanh đen C02</v>
      </c>
    </row>
    <row r="116" spans="1:14" ht="12.75">
      <c r="A116" s="76" t="str">
        <f t="shared" si="1"/>
        <v>25/10/2020</v>
      </c>
      <c r="B116" s="78"/>
      <c r="C116" s="77" t="s">
        <v>263</v>
      </c>
      <c r="D116" s="77"/>
      <c r="E116" s="78"/>
      <c r="F116" s="79" t="s">
        <v>1051</v>
      </c>
      <c r="G116" s="77" t="s">
        <v>649</v>
      </c>
      <c r="H116" s="77" t="s">
        <v>1148</v>
      </c>
      <c r="I116" s="81" t="s">
        <v>40</v>
      </c>
      <c r="J116" s="81" t="s">
        <v>424</v>
      </c>
      <c r="K116" s="82">
        <v>2550</v>
      </c>
      <c r="L116" s="82">
        <f>K116*10651</f>
        <v>27160050</v>
      </c>
      <c r="M116" s="80" t="str">
        <f>VLOOKUP(I116,SDDK!$C$6:$D$200,2,0)</f>
        <v>Chi phí nguyên vật liệu  PX2</v>
      </c>
      <c r="N116" s="80" t="str">
        <f>VLOOKUP(J116,SDDK!$C$6:$D$200,2,0)</f>
        <v>Thuốc nhuộm màu xanh đen C02</v>
      </c>
    </row>
    <row r="117" spans="1:14" ht="12.75">
      <c r="A117" s="76" t="str">
        <f t="shared" si="1"/>
        <v>25/10/2020</v>
      </c>
      <c r="B117" s="78"/>
      <c r="C117" s="77" t="s">
        <v>263</v>
      </c>
      <c r="D117" s="77"/>
      <c r="E117" s="78"/>
      <c r="F117" s="79" t="s">
        <v>1051</v>
      </c>
      <c r="G117" s="77" t="s">
        <v>649</v>
      </c>
      <c r="H117" s="77" t="s">
        <v>1149</v>
      </c>
      <c r="I117" s="81" t="s">
        <v>70</v>
      </c>
      <c r="J117" s="81" t="s">
        <v>424</v>
      </c>
      <c r="K117" s="82">
        <v>200</v>
      </c>
      <c r="L117" s="82">
        <f>K117*10651</f>
        <v>2130200</v>
      </c>
      <c r="M117" s="80" t="str">
        <f>VLOOKUP(I117,SDDK!$C$6:$D$200,2,0)</f>
        <v>Chi phí vật liệu, bao bì hàng bán</v>
      </c>
      <c r="N117" s="80" t="str">
        <f>VLOOKUP(J117,SDDK!$C$6:$D$200,2,0)</f>
        <v>Thuốc nhuộm màu xanh đen C02</v>
      </c>
    </row>
    <row r="118" spans="1:14" ht="12.75">
      <c r="A118" s="76" t="str">
        <f t="shared" si="1"/>
        <v>25/10/2020</v>
      </c>
      <c r="B118" s="78"/>
      <c r="C118" s="77" t="s">
        <v>263</v>
      </c>
      <c r="D118" s="77"/>
      <c r="E118" s="78"/>
      <c r="F118" s="79" t="s">
        <v>1051</v>
      </c>
      <c r="G118" s="77" t="s">
        <v>649</v>
      </c>
      <c r="H118" s="77" t="s">
        <v>1150</v>
      </c>
      <c r="I118" s="81" t="s">
        <v>84</v>
      </c>
      <c r="J118" s="81" t="s">
        <v>424</v>
      </c>
      <c r="K118" s="82">
        <v>379</v>
      </c>
      <c r="L118" s="82">
        <f>K118*10651</f>
        <v>4036729</v>
      </c>
      <c r="M118" s="80" t="str">
        <f>VLOOKUP(I118,SDDK!$C$6:$D$200,2,0)</f>
        <v>Chi phí vật liệu quản lý doanh nghiệp</v>
      </c>
      <c r="N118" s="80" t="str">
        <f>VLOOKUP(J118,SDDK!$C$6:$D$200,2,0)</f>
        <v>Thuốc nhuộm màu xanh đen C02</v>
      </c>
    </row>
    <row r="119" spans="1:14" ht="12.75">
      <c r="A119" s="76" t="str">
        <f t="shared" si="1"/>
        <v>26/10/2020</v>
      </c>
      <c r="B119" s="78"/>
      <c r="C119" s="77" t="s">
        <v>261</v>
      </c>
      <c r="D119" s="77"/>
      <c r="E119" s="78"/>
      <c r="F119" s="79" t="s">
        <v>1054</v>
      </c>
      <c r="G119" s="77" t="s">
        <v>649</v>
      </c>
      <c r="H119" s="77" t="s">
        <v>1151</v>
      </c>
      <c r="I119" s="81" t="s">
        <v>433</v>
      </c>
      <c r="J119" s="81" t="s">
        <v>430</v>
      </c>
      <c r="K119" s="82">
        <v>500</v>
      </c>
      <c r="L119" s="82">
        <f>500*317500</f>
        <v>158750000</v>
      </c>
      <c r="M119" s="80" t="str">
        <f>VLOOKUP(I119,SDDK!$C$6:$D$200,2,0)</f>
        <v>Thảm lót chân</v>
      </c>
      <c r="N119" s="80" t="str">
        <f>VLOOKUP(J119,SDDK!$C$6:$D$200,2,0)</f>
        <v>Chi phí SXKD dở dang Thảm lót chân (giá kế hoạch 5500)</v>
      </c>
    </row>
    <row r="120" spans="1:14" ht="12.75">
      <c r="A120" s="76" t="str">
        <f t="shared" si="1"/>
        <v>26/10/2020</v>
      </c>
      <c r="B120" s="78"/>
      <c r="C120" s="77" t="s">
        <v>262</v>
      </c>
      <c r="D120" s="77"/>
      <c r="E120" s="78"/>
      <c r="F120" s="79" t="s">
        <v>1054</v>
      </c>
      <c r="G120" s="77" t="s">
        <v>649</v>
      </c>
      <c r="H120" s="77" t="s">
        <v>1152</v>
      </c>
      <c r="I120" s="81" t="s">
        <v>62</v>
      </c>
      <c r="J120" s="81" t="s">
        <v>433</v>
      </c>
      <c r="K120" s="82">
        <v>290</v>
      </c>
      <c r="L120" s="82">
        <f>K120*317545</f>
        <v>92088050</v>
      </c>
      <c r="M120" s="80" t="str">
        <f>VLOOKUP(I120,SDDK!$C$6:$D$200,2,0)</f>
        <v>Giá vốn hàng bán</v>
      </c>
      <c r="N120" s="80" t="str">
        <f>VLOOKUP(J120,SDDK!$C$6:$D$200,2,0)</f>
        <v>Thảm lót chân</v>
      </c>
    </row>
    <row r="121" spans="1:14" ht="12.75">
      <c r="A121" s="76" t="str">
        <f t="shared" si="1"/>
        <v>26/10/2020</v>
      </c>
      <c r="B121" s="78"/>
      <c r="C121" s="78"/>
      <c r="D121" s="77" t="s">
        <v>563</v>
      </c>
      <c r="E121" s="78" t="s">
        <v>695</v>
      </c>
      <c r="F121" s="79" t="s">
        <v>1054</v>
      </c>
      <c r="G121" s="77" t="s">
        <v>119</v>
      </c>
      <c r="H121" s="77" t="s">
        <v>1153</v>
      </c>
      <c r="I121" s="81" t="s">
        <v>397</v>
      </c>
      <c r="J121" s="81" t="s">
        <v>15</v>
      </c>
      <c r="K121" s="82">
        <v>290</v>
      </c>
      <c r="L121" s="82">
        <f>K121*390000</f>
        <v>113100000</v>
      </c>
      <c r="M121" s="80" t="str">
        <f>VLOOKUP(I121,SDDK!$C$6:$D$200,2,0)</f>
        <v>Phải thu dài hạn Xí Nghiệp LIDOVIT</v>
      </c>
      <c r="N121" s="80" t="str">
        <f>VLOOKUP(J121,SDDK!$C$6:$D$200,2,0)</f>
        <v>Doanh thu bán thành phẩm</v>
      </c>
    </row>
    <row r="122" spans="1:14" ht="12.75">
      <c r="A122" s="76" t="str">
        <f t="shared" si="1"/>
        <v>26/10/2020</v>
      </c>
      <c r="B122" s="78"/>
      <c r="C122" s="78"/>
      <c r="D122" s="77" t="s">
        <v>563</v>
      </c>
      <c r="E122" s="78" t="s">
        <v>695</v>
      </c>
      <c r="F122" s="79" t="s">
        <v>1054</v>
      </c>
      <c r="G122" s="77" t="s">
        <v>119</v>
      </c>
      <c r="H122" s="77" t="s">
        <v>1154</v>
      </c>
      <c r="I122" s="81" t="s">
        <v>397</v>
      </c>
      <c r="J122" s="81" t="s">
        <v>155</v>
      </c>
      <c r="K122" s="82"/>
      <c r="L122" s="82">
        <f>L121*0.05</f>
        <v>5655000</v>
      </c>
      <c r="M122" s="80" t="str">
        <f>VLOOKUP(I122,SDDK!$C$6:$D$200,2,0)</f>
        <v>Phải thu dài hạn Xí Nghiệp LIDOVIT</v>
      </c>
      <c r="N122" s="80" t="str">
        <f>VLOOKUP(J122,SDDK!$C$6:$D$200,2,0)</f>
        <v>Thuế GTGT đầu ra hoạt động kinh doanh</v>
      </c>
    </row>
    <row r="123" spans="1:14" ht="12.75">
      <c r="A123" s="76" t="str">
        <f t="shared" si="1"/>
        <v>27/10/2020</v>
      </c>
      <c r="B123" s="78"/>
      <c r="C123" s="77" t="s">
        <v>264</v>
      </c>
      <c r="D123" s="77"/>
      <c r="E123" s="78"/>
      <c r="F123" s="79" t="s">
        <v>1055</v>
      </c>
      <c r="G123" s="77" t="s">
        <v>649</v>
      </c>
      <c r="H123" s="77" t="s">
        <v>1155</v>
      </c>
      <c r="I123" s="81" t="s">
        <v>38</v>
      </c>
      <c r="J123" s="83" t="s">
        <v>426</v>
      </c>
      <c r="K123" s="82">
        <v>530</v>
      </c>
      <c r="L123" s="82">
        <f>K123*16371</f>
        <v>8676630</v>
      </c>
      <c r="M123" s="80" t="str">
        <f>VLOOKUP(I123,SDDK!$C$6:$D$200,2,0)</f>
        <v>Chi phí nguyên vật liệu  PX1</v>
      </c>
      <c r="N123" s="80" t="str">
        <f>VLOOKUP(J123,SDDK!$C$6:$D$200,2,0)</f>
        <v>Nhiên liệu Dầu nhớt Deizel</v>
      </c>
    </row>
    <row r="124" spans="1:14" ht="12.75">
      <c r="A124" s="76" t="str">
        <f t="shared" si="1"/>
        <v>27/10/2020</v>
      </c>
      <c r="B124" s="78"/>
      <c r="C124" s="77" t="s">
        <v>264</v>
      </c>
      <c r="D124" s="77"/>
      <c r="E124" s="78"/>
      <c r="F124" s="79" t="s">
        <v>1055</v>
      </c>
      <c r="G124" s="77" t="s">
        <v>649</v>
      </c>
      <c r="H124" s="77" t="s">
        <v>1156</v>
      </c>
      <c r="I124" s="81" t="s">
        <v>40</v>
      </c>
      <c r="J124" s="83" t="s">
        <v>426</v>
      </c>
      <c r="K124" s="82">
        <v>50</v>
      </c>
      <c r="L124" s="82">
        <f>K124*16371</f>
        <v>818550</v>
      </c>
      <c r="M124" s="80" t="str">
        <f>VLOOKUP(I124,SDDK!$C$6:$D$200,2,0)</f>
        <v>Chi phí nguyên vật liệu  PX2</v>
      </c>
      <c r="N124" s="80" t="str">
        <f>VLOOKUP(J124,SDDK!$C$6:$D$200,2,0)</f>
        <v>Nhiên liệu Dầu nhớt Deizel</v>
      </c>
    </row>
    <row r="125" spans="1:14" ht="12.75">
      <c r="A125" s="76" t="str">
        <f t="shared" si="1"/>
        <v>27/10/2020</v>
      </c>
      <c r="B125" s="78"/>
      <c r="C125" s="77" t="s">
        <v>264</v>
      </c>
      <c r="D125" s="77"/>
      <c r="E125" s="78"/>
      <c r="F125" s="79" t="s">
        <v>1055</v>
      </c>
      <c r="G125" s="77" t="s">
        <v>649</v>
      </c>
      <c r="H125" s="77" t="s">
        <v>1157</v>
      </c>
      <c r="I125" s="81" t="s">
        <v>84</v>
      </c>
      <c r="J125" s="83" t="s">
        <v>426</v>
      </c>
      <c r="K125" s="82">
        <v>83</v>
      </c>
      <c r="L125" s="82">
        <f>K125*16371</f>
        <v>1358793</v>
      </c>
      <c r="M125" s="80" t="str">
        <f>VLOOKUP(I125,SDDK!$C$6:$D$200,2,0)</f>
        <v>Chi phí vật liệu quản lý doanh nghiệp</v>
      </c>
      <c r="N125" s="80" t="str">
        <f>VLOOKUP(J125,SDDK!$C$6:$D$200,2,0)</f>
        <v>Nhiên liệu Dầu nhớt Deizel</v>
      </c>
    </row>
    <row r="126" spans="1:14" ht="12.75">
      <c r="A126" s="76" t="str">
        <f t="shared" si="1"/>
        <v>27/10/2020</v>
      </c>
      <c r="B126" s="78"/>
      <c r="C126" s="77" t="s">
        <v>266</v>
      </c>
      <c r="D126" s="77"/>
      <c r="E126" s="78"/>
      <c r="F126" s="79" t="s">
        <v>1055</v>
      </c>
      <c r="G126" s="77" t="s">
        <v>649</v>
      </c>
      <c r="H126" s="77" t="s">
        <v>1158</v>
      </c>
      <c r="I126" s="81" t="s">
        <v>851</v>
      </c>
      <c r="J126" s="81" t="s">
        <v>763</v>
      </c>
      <c r="K126" s="82">
        <v>25</v>
      </c>
      <c r="L126" s="82">
        <f>K126*245000</f>
        <v>6125000</v>
      </c>
      <c r="M126" s="80" t="str">
        <f>VLOOKUP(I126,SDDK!$C$6:$D$200,2,0)</f>
        <v>Chi phí trả trước ngắn hạn - SC TSCĐ</v>
      </c>
      <c r="N126" s="80" t="str">
        <f>VLOOKUP(J126,SDDK!$C$6:$D$200,2,0)</f>
        <v>Kéo cắt vải</v>
      </c>
    </row>
    <row r="127" spans="1:14" ht="12.75">
      <c r="A127" s="76" t="str">
        <f t="shared" si="1"/>
        <v>27/10/2020</v>
      </c>
      <c r="B127" s="78"/>
      <c r="C127" s="77" t="s">
        <v>267</v>
      </c>
      <c r="D127" s="77"/>
      <c r="E127" s="78"/>
      <c r="F127" s="79" t="s">
        <v>1055</v>
      </c>
      <c r="G127" s="77" t="s">
        <v>649</v>
      </c>
      <c r="H127" s="77" t="s">
        <v>1159</v>
      </c>
      <c r="I127" s="81" t="s">
        <v>86</v>
      </c>
      <c r="J127" s="81" t="s">
        <v>763</v>
      </c>
      <c r="K127" s="82">
        <v>4</v>
      </c>
      <c r="L127" s="82">
        <f>K127*245000</f>
        <v>980000</v>
      </c>
      <c r="M127" s="80" t="str">
        <f>VLOOKUP(I127,SDDK!$C$6:$D$200,2,0)</f>
        <v>Chi phí dụng cụ, đồ dùng quản lý doanh nghiệp</v>
      </c>
      <c r="N127" s="80" t="str">
        <f>VLOOKUP(J127,SDDK!$C$6:$D$200,2,0)</f>
        <v>Kéo cắt vải</v>
      </c>
    </row>
    <row r="128" spans="1:14" ht="12.75">
      <c r="A128" s="76" t="str">
        <f t="shared" si="1"/>
        <v>27/10/2020</v>
      </c>
      <c r="B128" s="78"/>
      <c r="C128" s="78"/>
      <c r="D128" s="77" t="s">
        <v>564</v>
      </c>
      <c r="E128" s="77" t="s">
        <v>723</v>
      </c>
      <c r="F128" s="79" t="s">
        <v>1055</v>
      </c>
      <c r="G128" s="77"/>
      <c r="H128" s="77" t="s">
        <v>1160</v>
      </c>
      <c r="I128" s="81" t="s">
        <v>86</v>
      </c>
      <c r="J128" s="81" t="s">
        <v>851</v>
      </c>
      <c r="K128" s="82"/>
      <c r="L128" s="82">
        <f>L126/2</f>
        <v>3062500</v>
      </c>
      <c r="M128" s="80" t="str">
        <f>VLOOKUP(I128,SDDK!$C$6:$D$200,2,0)</f>
        <v>Chi phí dụng cụ, đồ dùng quản lý doanh nghiệp</v>
      </c>
      <c r="N128" s="80" t="str">
        <f>VLOOKUP(J128,SDDK!$C$6:$D$200,2,0)</f>
        <v>Chi phí trả trước ngắn hạn - SC TSCĐ</v>
      </c>
    </row>
    <row r="129" spans="1:14" ht="12.75">
      <c r="A129" s="76" t="str">
        <f t="shared" si="1"/>
        <v>28/10/2020</v>
      </c>
      <c r="B129" s="77"/>
      <c r="C129" s="78"/>
      <c r="D129" s="77" t="s">
        <v>565</v>
      </c>
      <c r="E129" s="77" t="s">
        <v>724</v>
      </c>
      <c r="F129" s="79" t="s">
        <v>1056</v>
      </c>
      <c r="G129" s="77" t="s">
        <v>795</v>
      </c>
      <c r="H129" s="77" t="s">
        <v>1161</v>
      </c>
      <c r="I129" s="81" t="s">
        <v>458</v>
      </c>
      <c r="J129" s="81" t="s">
        <v>374</v>
      </c>
      <c r="K129" s="82"/>
      <c r="L129" s="82">
        <v>80000000</v>
      </c>
      <c r="M129" s="80" t="str">
        <f>VLOOKUP(I129,SDDK!$C$6:$D$200,2,0)</f>
        <v>Phải trả ngắn hạn Công ty TNHH Khanh Hòa</v>
      </c>
      <c r="N129" s="80" t="str">
        <f>VLOOKUP(J129,SDDK!$C$6:$D$200,2,0)</f>
        <v>Tiền gửi ngân hàng (VNĐ)</v>
      </c>
    </row>
    <row r="130" spans="1:14" ht="12.75">
      <c r="A130" s="76" t="str">
        <f t="shared" si="1"/>
        <v>28/10/2020</v>
      </c>
      <c r="B130" s="78"/>
      <c r="C130" s="78"/>
      <c r="D130" s="77" t="s">
        <v>566</v>
      </c>
      <c r="E130" s="78" t="s">
        <v>725</v>
      </c>
      <c r="F130" s="79" t="s">
        <v>1056</v>
      </c>
      <c r="G130" s="77" t="s">
        <v>187</v>
      </c>
      <c r="H130" s="77" t="s">
        <v>1162</v>
      </c>
      <c r="I130" s="81" t="s">
        <v>96</v>
      </c>
      <c r="J130" s="81" t="s">
        <v>421</v>
      </c>
      <c r="K130" s="82"/>
      <c r="L130" s="82">
        <v>9000000</v>
      </c>
      <c r="M130" s="80" t="str">
        <f>VLOOKUP(I130,SDDK!$C$6:$D$200,2,0)</f>
        <v>Chi phí bằng tiền khác quản lý doanh nghiệp</v>
      </c>
      <c r="N130" s="80" t="str">
        <f>VLOOKUP(J130,SDDK!$C$6:$D$200,2,0)</f>
        <v>Nguyễn Minh Ngân</v>
      </c>
    </row>
    <row r="131" spans="1:14" ht="12.75">
      <c r="A131" s="76" t="str">
        <f t="shared" si="1"/>
        <v>28/10/2020</v>
      </c>
      <c r="B131" s="78"/>
      <c r="C131" s="77" t="s">
        <v>268</v>
      </c>
      <c r="D131" s="77"/>
      <c r="E131" s="78"/>
      <c r="F131" s="79" t="s">
        <v>1056</v>
      </c>
      <c r="G131" s="77" t="s">
        <v>649</v>
      </c>
      <c r="H131" s="77" t="s">
        <v>1151</v>
      </c>
      <c r="I131" s="81" t="s">
        <v>433</v>
      </c>
      <c r="J131" s="81" t="s">
        <v>430</v>
      </c>
      <c r="K131" s="82">
        <v>500</v>
      </c>
      <c r="L131" s="82">
        <f>500*317500</f>
        <v>158750000</v>
      </c>
      <c r="M131" s="80" t="str">
        <f>VLOOKUP(I131,SDDK!$C$6:$D$200,2,0)</f>
        <v>Thảm lót chân</v>
      </c>
      <c r="N131" s="80" t="str">
        <f>VLOOKUP(J131,SDDK!$C$6:$D$200,2,0)</f>
        <v>Chi phí SXKD dở dang Thảm lót chân (giá kế hoạch 5500)</v>
      </c>
    </row>
    <row r="132" spans="1:14" ht="12.75">
      <c r="A132" s="76" t="str">
        <f t="shared" si="1"/>
        <v>28/10/2020</v>
      </c>
      <c r="B132" s="77"/>
      <c r="C132" s="78"/>
      <c r="D132" s="77" t="s">
        <v>567</v>
      </c>
      <c r="E132" s="77" t="s">
        <v>726</v>
      </c>
      <c r="F132" s="79" t="s">
        <v>1056</v>
      </c>
      <c r="G132" s="77" t="s">
        <v>119</v>
      </c>
      <c r="H132" s="77" t="s">
        <v>1163</v>
      </c>
      <c r="I132" s="81" t="s">
        <v>374</v>
      </c>
      <c r="J132" s="81" t="s">
        <v>390</v>
      </c>
      <c r="K132" s="82"/>
      <c r="L132" s="82">
        <v>1200000</v>
      </c>
      <c r="M132" s="80" t="str">
        <f>VLOOKUP(I132,SDDK!$C$6:$D$200,2,0)</f>
        <v>Tiền gửi ngân hàng (VNĐ)</v>
      </c>
      <c r="N132" s="80" t="str">
        <f>VLOOKUP(J132,SDDK!$C$6:$D$200,2,0)</f>
        <v>Phải thu ngắn hạn Xí Nghiệp LIDOVIT</v>
      </c>
    </row>
    <row r="133" spans="1:14" ht="12.75">
      <c r="A133" s="76" t="str">
        <f t="shared" si="1"/>
        <v>28/10/2020</v>
      </c>
      <c r="B133" s="78"/>
      <c r="C133" s="77" t="s">
        <v>269</v>
      </c>
      <c r="D133" s="77"/>
      <c r="E133" s="78"/>
      <c r="F133" s="79" t="s">
        <v>1056</v>
      </c>
      <c r="G133" s="77" t="s">
        <v>649</v>
      </c>
      <c r="H133" s="77" t="s">
        <v>1164</v>
      </c>
      <c r="I133" s="81" t="s">
        <v>62</v>
      </c>
      <c r="J133" s="81" t="s">
        <v>432</v>
      </c>
      <c r="K133" s="82">
        <v>100</v>
      </c>
      <c r="L133" s="82">
        <f>K133*392500</f>
        <v>39250000</v>
      </c>
      <c r="M133" s="80" t="str">
        <f>VLOOKUP(I133,SDDK!$C$6:$D$200,2,0)</f>
        <v>Giá vốn hàng bán</v>
      </c>
      <c r="N133" s="80" t="str">
        <f>VLOOKUP(J133,SDDK!$C$6:$D$200,2,0)</f>
        <v>Vải thun coton</v>
      </c>
    </row>
    <row r="134" spans="1:14" ht="12.75">
      <c r="A134" s="76" t="str">
        <f aca="true" t="shared" si="2" ref="A134:A197">F134</f>
        <v>28/10/2020</v>
      </c>
      <c r="B134" s="78"/>
      <c r="C134" s="77"/>
      <c r="D134" s="77" t="s">
        <v>568</v>
      </c>
      <c r="E134" s="78" t="s">
        <v>696</v>
      </c>
      <c r="F134" s="79" t="s">
        <v>1056</v>
      </c>
      <c r="G134" s="77" t="s">
        <v>254</v>
      </c>
      <c r="H134" s="77" t="s">
        <v>1165</v>
      </c>
      <c r="I134" s="81" t="s">
        <v>388</v>
      </c>
      <c r="J134" s="81" t="s">
        <v>15</v>
      </c>
      <c r="K134" s="82">
        <v>100</v>
      </c>
      <c r="L134" s="82">
        <f>100*510000</f>
        <v>51000000</v>
      </c>
      <c r="M134" s="80" t="str">
        <f>VLOOKUP(I134,SDDK!$C$6:$D$200,2,0)</f>
        <v>Phải thu ngắn hạn Công ty Metro</v>
      </c>
      <c r="N134" s="80" t="str">
        <f>VLOOKUP(J134,SDDK!$C$6:$D$200,2,0)</f>
        <v>Doanh thu bán thành phẩm</v>
      </c>
    </row>
    <row r="135" spans="1:14" ht="12.75">
      <c r="A135" s="76" t="str">
        <f t="shared" si="2"/>
        <v>28/10/2020</v>
      </c>
      <c r="B135" s="78"/>
      <c r="C135" s="77"/>
      <c r="D135" s="77" t="s">
        <v>568</v>
      </c>
      <c r="E135" s="78" t="s">
        <v>696</v>
      </c>
      <c r="F135" s="79" t="s">
        <v>1056</v>
      </c>
      <c r="G135" s="77" t="s">
        <v>254</v>
      </c>
      <c r="H135" s="77" t="s">
        <v>1102</v>
      </c>
      <c r="I135" s="81" t="s">
        <v>388</v>
      </c>
      <c r="J135" s="81" t="s">
        <v>155</v>
      </c>
      <c r="K135" s="82"/>
      <c r="L135" s="82">
        <f>L134*0.1</f>
        <v>5100000</v>
      </c>
      <c r="M135" s="80" t="str">
        <f>VLOOKUP(I135,SDDK!$C$6:$D$200,2,0)</f>
        <v>Phải thu ngắn hạn Công ty Metro</v>
      </c>
      <c r="N135" s="80" t="str">
        <f>VLOOKUP(J135,SDDK!$C$6:$D$200,2,0)</f>
        <v>Thuế GTGT đầu ra hoạt động kinh doanh</v>
      </c>
    </row>
    <row r="136" spans="1:14" ht="12.75">
      <c r="A136" s="76" t="str">
        <f t="shared" si="2"/>
        <v>28/10/2020</v>
      </c>
      <c r="B136" s="77"/>
      <c r="C136" s="78"/>
      <c r="D136" s="77" t="s">
        <v>569</v>
      </c>
      <c r="E136" s="77" t="s">
        <v>727</v>
      </c>
      <c r="F136" s="79" t="s">
        <v>1056</v>
      </c>
      <c r="G136" s="77" t="s">
        <v>797</v>
      </c>
      <c r="H136" s="77" t="s">
        <v>1166</v>
      </c>
      <c r="I136" s="81" t="s">
        <v>470</v>
      </c>
      <c r="J136" s="81" t="s">
        <v>374</v>
      </c>
      <c r="K136" s="82"/>
      <c r="L136" s="82">
        <v>60000000</v>
      </c>
      <c r="M136" s="80" t="str">
        <f>VLOOKUP(I136,SDDK!$C$6:$D$200,2,0)</f>
        <v>Phải trả ngắn hạn Công ty TNHH Thiên Phú</v>
      </c>
      <c r="N136" s="80" t="str">
        <f>VLOOKUP(J136,SDDK!$C$6:$D$200,2,0)</f>
        <v>Tiền gửi ngân hàng (VNĐ)</v>
      </c>
    </row>
    <row r="137" spans="1:14" ht="12.75">
      <c r="A137" s="76" t="str">
        <f t="shared" si="2"/>
        <v>28/10/2020</v>
      </c>
      <c r="B137" s="77"/>
      <c r="C137" s="78"/>
      <c r="D137" s="77" t="s">
        <v>570</v>
      </c>
      <c r="E137" s="77" t="s">
        <v>728</v>
      </c>
      <c r="F137" s="79" t="s">
        <v>1056</v>
      </c>
      <c r="G137" s="77" t="s">
        <v>800</v>
      </c>
      <c r="H137" s="77" t="s">
        <v>1167</v>
      </c>
      <c r="I137" s="81" t="s">
        <v>466</v>
      </c>
      <c r="J137" s="81" t="s">
        <v>374</v>
      </c>
      <c r="K137" s="82"/>
      <c r="L137" s="82">
        <v>30000000</v>
      </c>
      <c r="M137" s="80" t="str">
        <f>VLOOKUP(I137,SDDK!$C$6:$D$200,2,0)</f>
        <v>Phải trả ngắn hạn Công ty CP Tân Tạo</v>
      </c>
      <c r="N137" s="80" t="str">
        <f>VLOOKUP(J137,SDDK!$C$6:$D$200,2,0)</f>
        <v>Tiền gửi ngân hàng (VNĐ)</v>
      </c>
    </row>
    <row r="138" spans="1:14" ht="12.75">
      <c r="A138" s="76" t="str">
        <f t="shared" si="2"/>
        <v>28/10/2020</v>
      </c>
      <c r="B138" s="78"/>
      <c r="C138" s="77" t="s">
        <v>265</v>
      </c>
      <c r="D138" s="77"/>
      <c r="E138" s="78"/>
      <c r="F138" s="79" t="s">
        <v>1056</v>
      </c>
      <c r="G138" s="77" t="s">
        <v>649</v>
      </c>
      <c r="H138" s="77" t="s">
        <v>1168</v>
      </c>
      <c r="I138" s="81" t="s">
        <v>26</v>
      </c>
      <c r="J138" s="83" t="s">
        <v>423</v>
      </c>
      <c r="K138" s="82">
        <v>12100</v>
      </c>
      <c r="L138" s="82">
        <f>12100*18585</f>
        <v>224878500</v>
      </c>
      <c r="M138" s="80" t="str">
        <f>VLOOKUP(I138,SDDK!$C$6:$D$200,2,0)</f>
        <v>Chi phí NVL trực tiếp cho Vải thun coton</v>
      </c>
      <c r="N138" s="80" t="str">
        <f>VLOOKUP(J138,SDDK!$C$6:$D$200,2,0)</f>
        <v>Sợi thun coton thô</v>
      </c>
    </row>
    <row r="139" spans="1:14" ht="12.75">
      <c r="A139" s="76" t="str">
        <f t="shared" si="2"/>
        <v>28/10/2020</v>
      </c>
      <c r="B139" s="78"/>
      <c r="C139" s="77" t="s">
        <v>265</v>
      </c>
      <c r="D139" s="77"/>
      <c r="E139" s="78"/>
      <c r="F139" s="79" t="s">
        <v>1056</v>
      </c>
      <c r="G139" s="77" t="s">
        <v>649</v>
      </c>
      <c r="H139" s="77" t="s">
        <v>1169</v>
      </c>
      <c r="I139" s="81" t="s">
        <v>26</v>
      </c>
      <c r="J139" s="81" t="s">
        <v>424</v>
      </c>
      <c r="K139" s="82">
        <v>30000</v>
      </c>
      <c r="L139" s="82">
        <f aca="true" t="shared" si="3" ref="L139:L144">K139*10651</f>
        <v>319530000</v>
      </c>
      <c r="M139" s="80" t="str">
        <f>VLOOKUP(I139,SDDK!$C$6:$D$200,2,0)</f>
        <v>Chi phí NVL trực tiếp cho Vải thun coton</v>
      </c>
      <c r="N139" s="80" t="str">
        <f>VLOOKUP(J139,SDDK!$C$6:$D$200,2,0)</f>
        <v>Thuốc nhuộm màu xanh đen C02</v>
      </c>
    </row>
    <row r="140" spans="1:14" ht="12.75">
      <c r="A140" s="76" t="str">
        <f t="shared" si="2"/>
        <v>28/10/2020</v>
      </c>
      <c r="B140" s="78"/>
      <c r="C140" s="77" t="s">
        <v>265</v>
      </c>
      <c r="D140" s="77"/>
      <c r="E140" s="78"/>
      <c r="F140" s="79" t="s">
        <v>1056</v>
      </c>
      <c r="G140" s="77" t="s">
        <v>649</v>
      </c>
      <c r="H140" s="77" t="s">
        <v>1170</v>
      </c>
      <c r="I140" s="81" t="s">
        <v>29</v>
      </c>
      <c r="J140" s="81" t="s">
        <v>424</v>
      </c>
      <c r="K140" s="82">
        <v>1275</v>
      </c>
      <c r="L140" s="82">
        <f t="shared" si="3"/>
        <v>13580025</v>
      </c>
      <c r="M140" s="80" t="str">
        <f>VLOOKUP(I140,SDDK!$C$6:$D$200,2,0)</f>
        <v>Chi phí NVL trực tiếp cho Dịch vụ sửa chữa</v>
      </c>
      <c r="N140" s="80" t="str">
        <f>VLOOKUP(J140,SDDK!$C$6:$D$200,2,0)</f>
        <v>Thuốc nhuộm màu xanh đen C02</v>
      </c>
    </row>
    <row r="141" spans="1:14" ht="12.75">
      <c r="A141" s="76" t="str">
        <f t="shared" si="2"/>
        <v>28/10/2020</v>
      </c>
      <c r="B141" s="78"/>
      <c r="C141" s="77" t="s">
        <v>270</v>
      </c>
      <c r="D141" s="77"/>
      <c r="E141" s="78"/>
      <c r="F141" s="79" t="s">
        <v>1056</v>
      </c>
      <c r="G141" s="77" t="s">
        <v>649</v>
      </c>
      <c r="H141" s="77" t="s">
        <v>1171</v>
      </c>
      <c r="I141" s="81" t="s">
        <v>38</v>
      </c>
      <c r="J141" s="81" t="s">
        <v>424</v>
      </c>
      <c r="K141" s="82">
        <v>255</v>
      </c>
      <c r="L141" s="82">
        <f t="shared" si="3"/>
        <v>2716005</v>
      </c>
      <c r="M141" s="80" t="str">
        <f>VLOOKUP(I141,SDDK!$C$6:$D$200,2,0)</f>
        <v>Chi phí nguyên vật liệu  PX1</v>
      </c>
      <c r="N141" s="80" t="str">
        <f>VLOOKUP(J141,SDDK!$C$6:$D$200,2,0)</f>
        <v>Thuốc nhuộm màu xanh đen C02</v>
      </c>
    </row>
    <row r="142" spans="1:14" ht="12.75">
      <c r="A142" s="76" t="str">
        <f t="shared" si="2"/>
        <v>28/10/2020</v>
      </c>
      <c r="B142" s="78"/>
      <c r="C142" s="77" t="s">
        <v>270</v>
      </c>
      <c r="D142" s="77"/>
      <c r="E142" s="78"/>
      <c r="F142" s="79" t="s">
        <v>1056</v>
      </c>
      <c r="G142" s="77" t="s">
        <v>649</v>
      </c>
      <c r="H142" s="77" t="s">
        <v>1172</v>
      </c>
      <c r="I142" s="81" t="s">
        <v>40</v>
      </c>
      <c r="J142" s="81" t="s">
        <v>424</v>
      </c>
      <c r="K142" s="82">
        <v>1275</v>
      </c>
      <c r="L142" s="82">
        <f t="shared" si="3"/>
        <v>13580025</v>
      </c>
      <c r="M142" s="80" t="str">
        <f>VLOOKUP(I142,SDDK!$C$6:$D$200,2,0)</f>
        <v>Chi phí nguyên vật liệu  PX2</v>
      </c>
      <c r="N142" s="80" t="str">
        <f>VLOOKUP(J142,SDDK!$C$6:$D$200,2,0)</f>
        <v>Thuốc nhuộm màu xanh đen C02</v>
      </c>
    </row>
    <row r="143" spans="1:14" ht="12.75">
      <c r="A143" s="76" t="str">
        <f t="shared" si="2"/>
        <v>28/10/2020</v>
      </c>
      <c r="B143" s="78"/>
      <c r="C143" s="77" t="s">
        <v>271</v>
      </c>
      <c r="D143" s="77"/>
      <c r="E143" s="78"/>
      <c r="F143" s="79" t="s">
        <v>1056</v>
      </c>
      <c r="G143" s="77" t="s">
        <v>649</v>
      </c>
      <c r="H143" s="77" t="s">
        <v>1149</v>
      </c>
      <c r="I143" s="81" t="s">
        <v>70</v>
      </c>
      <c r="J143" s="81" t="s">
        <v>424</v>
      </c>
      <c r="K143" s="82">
        <v>120</v>
      </c>
      <c r="L143" s="82">
        <f t="shared" si="3"/>
        <v>1278120</v>
      </c>
      <c r="M143" s="80" t="str">
        <f>VLOOKUP(I143,SDDK!$C$6:$D$200,2,0)</f>
        <v>Chi phí vật liệu, bao bì hàng bán</v>
      </c>
      <c r="N143" s="80" t="str">
        <f>VLOOKUP(J143,SDDK!$C$6:$D$200,2,0)</f>
        <v>Thuốc nhuộm màu xanh đen C02</v>
      </c>
    </row>
    <row r="144" spans="1:14" ht="12.75">
      <c r="A144" s="76" t="str">
        <f t="shared" si="2"/>
        <v>28/10/2020</v>
      </c>
      <c r="B144" s="78"/>
      <c r="C144" s="77" t="s">
        <v>271</v>
      </c>
      <c r="D144" s="77"/>
      <c r="E144" s="78"/>
      <c r="F144" s="79" t="s">
        <v>1056</v>
      </c>
      <c r="G144" s="77" t="s">
        <v>649</v>
      </c>
      <c r="H144" s="77" t="s">
        <v>1173</v>
      </c>
      <c r="I144" s="81" t="s">
        <v>84</v>
      </c>
      <c r="J144" s="81" t="s">
        <v>424</v>
      </c>
      <c r="K144" s="82">
        <v>50</v>
      </c>
      <c r="L144" s="82">
        <f t="shared" si="3"/>
        <v>532550</v>
      </c>
      <c r="M144" s="80" t="str">
        <f>VLOOKUP(I144,SDDK!$C$6:$D$200,2,0)</f>
        <v>Chi phí vật liệu quản lý doanh nghiệp</v>
      </c>
      <c r="N144" s="80" t="str">
        <f>VLOOKUP(J144,SDDK!$C$6:$D$200,2,0)</f>
        <v>Thuốc nhuộm màu xanh đen C02</v>
      </c>
    </row>
    <row r="145" spans="1:14" ht="12.75">
      <c r="A145" s="76" t="str">
        <f t="shared" si="2"/>
        <v>28/10/2020</v>
      </c>
      <c r="B145" s="78"/>
      <c r="C145" s="77" t="s">
        <v>272</v>
      </c>
      <c r="D145" s="77"/>
      <c r="E145" s="78"/>
      <c r="F145" s="79" t="s">
        <v>1056</v>
      </c>
      <c r="G145" s="77" t="s">
        <v>649</v>
      </c>
      <c r="H145" s="77" t="s">
        <v>1174</v>
      </c>
      <c r="I145" s="81" t="s">
        <v>38</v>
      </c>
      <c r="J145" s="83" t="s">
        <v>426</v>
      </c>
      <c r="K145" s="82">
        <v>281</v>
      </c>
      <c r="L145" s="82">
        <f>K145*16371</f>
        <v>4600251</v>
      </c>
      <c r="M145" s="80" t="str">
        <f>VLOOKUP(I145,SDDK!$C$6:$D$200,2,0)</f>
        <v>Chi phí nguyên vật liệu  PX1</v>
      </c>
      <c r="N145" s="80" t="str">
        <f>VLOOKUP(J145,SDDK!$C$6:$D$200,2,0)</f>
        <v>Nhiên liệu Dầu nhớt Deizel</v>
      </c>
    </row>
    <row r="146" spans="1:14" ht="12.75">
      <c r="A146" s="76" t="str">
        <f t="shared" si="2"/>
        <v>28/10/2020</v>
      </c>
      <c r="B146" s="78"/>
      <c r="C146" s="77" t="s">
        <v>272</v>
      </c>
      <c r="D146" s="77"/>
      <c r="E146" s="78"/>
      <c r="F146" s="79" t="s">
        <v>1056</v>
      </c>
      <c r="G146" s="77" t="s">
        <v>649</v>
      </c>
      <c r="H146" s="77" t="s">
        <v>1175</v>
      </c>
      <c r="I146" s="81" t="s">
        <v>40</v>
      </c>
      <c r="J146" s="83" t="s">
        <v>426</v>
      </c>
      <c r="K146" s="82">
        <v>23</v>
      </c>
      <c r="L146" s="82">
        <f>K146*16371</f>
        <v>376533</v>
      </c>
      <c r="M146" s="80" t="str">
        <f>VLOOKUP(I146,SDDK!$C$6:$D$200,2,0)</f>
        <v>Chi phí nguyên vật liệu  PX2</v>
      </c>
      <c r="N146" s="80" t="str">
        <f>VLOOKUP(J146,SDDK!$C$6:$D$200,2,0)</f>
        <v>Nhiên liệu Dầu nhớt Deizel</v>
      </c>
    </row>
    <row r="147" spans="1:14" ht="12.75">
      <c r="A147" s="76" t="str">
        <f t="shared" si="2"/>
        <v>28/10/2020</v>
      </c>
      <c r="B147" s="78"/>
      <c r="C147" s="77" t="s">
        <v>272</v>
      </c>
      <c r="D147" s="77"/>
      <c r="E147" s="78"/>
      <c r="F147" s="79" t="s">
        <v>1056</v>
      </c>
      <c r="G147" s="77" t="s">
        <v>649</v>
      </c>
      <c r="H147" s="77" t="s">
        <v>1176</v>
      </c>
      <c r="I147" s="81" t="s">
        <v>84</v>
      </c>
      <c r="J147" s="83" t="s">
        <v>426</v>
      </c>
      <c r="K147" s="82">
        <v>60</v>
      </c>
      <c r="L147" s="82">
        <f>K147*16371</f>
        <v>982260</v>
      </c>
      <c r="M147" s="80" t="str">
        <f>VLOOKUP(I147,SDDK!$C$6:$D$200,2,0)</f>
        <v>Chi phí vật liệu quản lý doanh nghiệp</v>
      </c>
      <c r="N147" s="80" t="str">
        <f>VLOOKUP(J147,SDDK!$C$6:$D$200,2,0)</f>
        <v>Nhiên liệu Dầu nhớt Deizel</v>
      </c>
    </row>
    <row r="148" spans="1:14" ht="12.75">
      <c r="A148" s="76" t="str">
        <f t="shared" si="2"/>
        <v>28/10/2020</v>
      </c>
      <c r="B148" s="78"/>
      <c r="C148" s="77" t="s">
        <v>273</v>
      </c>
      <c r="D148" s="77"/>
      <c r="E148" s="78"/>
      <c r="F148" s="79" t="s">
        <v>1056</v>
      </c>
      <c r="G148" s="77" t="s">
        <v>649</v>
      </c>
      <c r="H148" s="77" t="s">
        <v>1177</v>
      </c>
      <c r="I148" s="81" t="s">
        <v>38</v>
      </c>
      <c r="J148" s="83" t="s">
        <v>427</v>
      </c>
      <c r="K148" s="82">
        <v>340</v>
      </c>
      <c r="L148" s="82">
        <f>K148*2140</f>
        <v>727600</v>
      </c>
      <c r="M148" s="80" t="str">
        <f>VLOOKUP(I148,SDDK!$C$6:$D$200,2,0)</f>
        <v>Chi phí nguyên vật liệu  PX1</v>
      </c>
      <c r="N148" s="80" t="str">
        <f>VLOOKUP(J148,SDDK!$C$6:$D$200,2,0)</f>
        <v>Ốc vít, bù loong.</v>
      </c>
    </row>
    <row r="149" spans="1:14" ht="12.75">
      <c r="A149" s="76" t="str">
        <f t="shared" si="2"/>
        <v>28/10/2020</v>
      </c>
      <c r="B149" s="78"/>
      <c r="C149" s="77" t="s">
        <v>273</v>
      </c>
      <c r="D149" s="77"/>
      <c r="E149" s="78"/>
      <c r="F149" s="79" t="s">
        <v>1056</v>
      </c>
      <c r="G149" s="77" t="s">
        <v>649</v>
      </c>
      <c r="H149" s="77" t="s">
        <v>1177</v>
      </c>
      <c r="I149" s="81" t="s">
        <v>40</v>
      </c>
      <c r="J149" s="83" t="s">
        <v>427</v>
      </c>
      <c r="K149" s="82">
        <v>68</v>
      </c>
      <c r="L149" s="82">
        <f>K149*2140</f>
        <v>145520</v>
      </c>
      <c r="M149" s="80" t="str">
        <f>VLOOKUP(I149,SDDK!$C$6:$D$200,2,0)</f>
        <v>Chi phí nguyên vật liệu  PX2</v>
      </c>
      <c r="N149" s="80" t="str">
        <f>VLOOKUP(J149,SDDK!$C$6:$D$200,2,0)</f>
        <v>Ốc vít, bù loong.</v>
      </c>
    </row>
    <row r="150" spans="1:14" ht="12.75">
      <c r="A150" s="76" t="str">
        <f t="shared" si="2"/>
        <v>28/10/2020</v>
      </c>
      <c r="B150" s="78"/>
      <c r="C150" s="77" t="s">
        <v>273</v>
      </c>
      <c r="D150" s="77"/>
      <c r="E150" s="78"/>
      <c r="F150" s="79" t="s">
        <v>1056</v>
      </c>
      <c r="G150" s="77" t="s">
        <v>649</v>
      </c>
      <c r="H150" s="77" t="s">
        <v>1177</v>
      </c>
      <c r="I150" s="81" t="s">
        <v>84</v>
      </c>
      <c r="J150" s="83" t="s">
        <v>427</v>
      </c>
      <c r="K150" s="82">
        <v>34</v>
      </c>
      <c r="L150" s="82">
        <f>K150*2140</f>
        <v>72760</v>
      </c>
      <c r="M150" s="80" t="str">
        <f>VLOOKUP(I150,SDDK!$C$6:$D$200,2,0)</f>
        <v>Chi phí vật liệu quản lý doanh nghiệp</v>
      </c>
      <c r="N150" s="80" t="str">
        <f>VLOOKUP(J150,SDDK!$C$6:$D$200,2,0)</f>
        <v>Ốc vít, bù loong.</v>
      </c>
    </row>
    <row r="151" spans="1:14" ht="12.75">
      <c r="A151" s="76" t="str">
        <f t="shared" si="2"/>
        <v>28/10/2020</v>
      </c>
      <c r="B151" s="78"/>
      <c r="C151" s="77" t="s">
        <v>277</v>
      </c>
      <c r="D151" s="77"/>
      <c r="E151" s="78"/>
      <c r="F151" s="79" t="s">
        <v>1056</v>
      </c>
      <c r="G151" s="77" t="s">
        <v>649</v>
      </c>
      <c r="H151" s="77" t="s">
        <v>1178</v>
      </c>
      <c r="I151" s="81" t="s">
        <v>851</v>
      </c>
      <c r="J151" s="81" t="s">
        <v>763</v>
      </c>
      <c r="K151" s="82">
        <v>17</v>
      </c>
      <c r="L151" s="82">
        <f>K151*245000</f>
        <v>4165000</v>
      </c>
      <c r="M151" s="80" t="str">
        <f>VLOOKUP(I151,SDDK!$C$6:$D$200,2,0)</f>
        <v>Chi phí trả trước ngắn hạn - SC TSCĐ</v>
      </c>
      <c r="N151" s="80" t="str">
        <f>VLOOKUP(J151,SDDK!$C$6:$D$200,2,0)</f>
        <v>Kéo cắt vải</v>
      </c>
    </row>
    <row r="152" spans="1:14" ht="12.75">
      <c r="A152" s="76" t="str">
        <f t="shared" si="2"/>
        <v>28/10/2020</v>
      </c>
      <c r="B152" s="78"/>
      <c r="C152" s="78"/>
      <c r="D152" s="77" t="s">
        <v>571</v>
      </c>
      <c r="E152" s="77" t="s">
        <v>729</v>
      </c>
      <c r="F152" s="79" t="s">
        <v>1056</v>
      </c>
      <c r="G152" s="77"/>
      <c r="H152" s="77" t="s">
        <v>1179</v>
      </c>
      <c r="I152" s="81" t="s">
        <v>44</v>
      </c>
      <c r="J152" s="81" t="s">
        <v>851</v>
      </c>
      <c r="K152" s="82"/>
      <c r="L152" s="82">
        <f>L151/2</f>
        <v>2082500</v>
      </c>
      <c r="M152" s="80" t="str">
        <f>VLOOKUP(I152,SDDK!$C$6:$D$200,2,0)</f>
        <v>Chi phí dụng cụ sản xuất PX2</v>
      </c>
      <c r="N152" s="80" t="str">
        <f>VLOOKUP(J152,SDDK!$C$6:$D$200,2,0)</f>
        <v>Chi phí trả trước ngắn hạn - SC TSCĐ</v>
      </c>
    </row>
    <row r="153" spans="1:14" ht="12.75">
      <c r="A153" s="76" t="str">
        <f t="shared" si="2"/>
        <v>28/10/2020</v>
      </c>
      <c r="B153" s="78"/>
      <c r="C153" s="77" t="s">
        <v>278</v>
      </c>
      <c r="D153" s="77"/>
      <c r="E153" s="78"/>
      <c r="F153" s="79" t="s">
        <v>1056</v>
      </c>
      <c r="G153" s="77" t="s">
        <v>649</v>
      </c>
      <c r="H153" s="77" t="s">
        <v>1180</v>
      </c>
      <c r="I153" s="81" t="s">
        <v>86</v>
      </c>
      <c r="J153" s="81" t="s">
        <v>763</v>
      </c>
      <c r="K153" s="82">
        <v>6</v>
      </c>
      <c r="L153" s="82">
        <f>K153*245000</f>
        <v>1470000</v>
      </c>
      <c r="M153" s="80" t="str">
        <f>VLOOKUP(I153,SDDK!$C$6:$D$200,2,0)</f>
        <v>Chi phí dụng cụ, đồ dùng quản lý doanh nghiệp</v>
      </c>
      <c r="N153" s="80" t="str">
        <f>VLOOKUP(J153,SDDK!$C$6:$D$200,2,0)</f>
        <v>Kéo cắt vải</v>
      </c>
    </row>
    <row r="154" spans="1:14" ht="12.75">
      <c r="A154" s="76" t="str">
        <f t="shared" si="2"/>
        <v>29/10/2020</v>
      </c>
      <c r="B154" s="78"/>
      <c r="C154" s="77" t="s">
        <v>279</v>
      </c>
      <c r="D154" s="77"/>
      <c r="E154" s="78"/>
      <c r="F154" s="79" t="s">
        <v>1057</v>
      </c>
      <c r="G154" s="77" t="s">
        <v>649</v>
      </c>
      <c r="H154" s="77" t="s">
        <v>1181</v>
      </c>
      <c r="I154" s="81" t="s">
        <v>62</v>
      </c>
      <c r="J154" s="81" t="s">
        <v>432</v>
      </c>
      <c r="K154" s="82">
        <v>43</v>
      </c>
      <c r="L154" s="82">
        <f>K154*392500</f>
        <v>16877500</v>
      </c>
      <c r="M154" s="80" t="str">
        <f>VLOOKUP(I154,SDDK!$C$6:$D$200,2,0)</f>
        <v>Giá vốn hàng bán</v>
      </c>
      <c r="N154" s="80" t="str">
        <f>VLOOKUP(J154,SDDK!$C$6:$D$200,2,0)</f>
        <v>Vải thun coton</v>
      </c>
    </row>
    <row r="155" spans="1:14" ht="12.75">
      <c r="A155" s="76" t="str">
        <f t="shared" si="2"/>
        <v>29/10/2020</v>
      </c>
      <c r="B155" s="78"/>
      <c r="C155" s="77"/>
      <c r="D155" s="77" t="s">
        <v>572</v>
      </c>
      <c r="E155" s="78" t="s">
        <v>697</v>
      </c>
      <c r="F155" s="79" t="s">
        <v>1057</v>
      </c>
      <c r="G155" s="77" t="s">
        <v>1047</v>
      </c>
      <c r="H155" s="77" t="s">
        <v>1165</v>
      </c>
      <c r="I155" s="81" t="s">
        <v>401</v>
      </c>
      <c r="J155" s="81" t="s">
        <v>15</v>
      </c>
      <c r="K155" s="82">
        <v>43</v>
      </c>
      <c r="L155" s="82">
        <f>43*520000</f>
        <v>22360000</v>
      </c>
      <c r="M155" s="80" t="str">
        <f>VLOOKUP(I155,SDDK!$C$6:$D$200,2,0)</f>
        <v>Phải thu dài hạn Công ty CP Hoa Sen</v>
      </c>
      <c r="N155" s="80" t="str">
        <f>VLOOKUP(J155,SDDK!$C$6:$D$200,2,0)</f>
        <v>Doanh thu bán thành phẩm</v>
      </c>
    </row>
    <row r="156" spans="1:14" ht="12.75">
      <c r="A156" s="76" t="str">
        <f t="shared" si="2"/>
        <v>29/10/2020</v>
      </c>
      <c r="B156" s="78"/>
      <c r="C156" s="77"/>
      <c r="D156" s="77" t="s">
        <v>573</v>
      </c>
      <c r="E156" s="78" t="s">
        <v>697</v>
      </c>
      <c r="F156" s="79" t="s">
        <v>1057</v>
      </c>
      <c r="G156" s="77" t="s">
        <v>1047</v>
      </c>
      <c r="H156" s="77" t="s">
        <v>1102</v>
      </c>
      <c r="I156" s="81" t="s">
        <v>401</v>
      </c>
      <c r="J156" s="81" t="s">
        <v>155</v>
      </c>
      <c r="K156" s="82"/>
      <c r="L156" s="82">
        <f>L155*0.1</f>
        <v>2236000</v>
      </c>
      <c r="M156" s="80" t="str">
        <f>VLOOKUP(I156,SDDK!$C$6:$D$200,2,0)</f>
        <v>Phải thu dài hạn Công ty CP Hoa Sen</v>
      </c>
      <c r="N156" s="80" t="str">
        <f>VLOOKUP(J156,SDDK!$C$6:$D$200,2,0)</f>
        <v>Thuế GTGT đầu ra hoạt động kinh doanh</v>
      </c>
    </row>
    <row r="157" spans="1:14" ht="12.75">
      <c r="A157" s="76" t="str">
        <f t="shared" si="2"/>
        <v>29/10/2020</v>
      </c>
      <c r="B157" s="77"/>
      <c r="C157" s="78"/>
      <c r="D157" s="77" t="s">
        <v>574</v>
      </c>
      <c r="E157" s="77" t="s">
        <v>730</v>
      </c>
      <c r="F157" s="79" t="s">
        <v>1057</v>
      </c>
      <c r="G157" s="77" t="s">
        <v>120</v>
      </c>
      <c r="H157" s="77" t="s">
        <v>1163</v>
      </c>
      <c r="I157" s="81" t="s">
        <v>374</v>
      </c>
      <c r="J157" s="81" t="s">
        <v>391</v>
      </c>
      <c r="K157" s="82"/>
      <c r="L157" s="82">
        <v>120000000</v>
      </c>
      <c r="M157" s="80" t="str">
        <f>VLOOKUP(I157,SDDK!$C$6:$D$200,2,0)</f>
        <v>Tiền gửi ngân hàng (VNĐ)</v>
      </c>
      <c r="N157" s="80" t="str">
        <f>VLOOKUP(J157,SDDK!$C$6:$D$200,2,0)</f>
        <v>Phải thu ngắn hạn Công ty GEMARTRANS </v>
      </c>
    </row>
    <row r="158" spans="1:14" ht="12.75">
      <c r="A158" s="76" t="str">
        <f t="shared" si="2"/>
        <v>29/10/2020</v>
      </c>
      <c r="B158" s="78"/>
      <c r="C158" s="78"/>
      <c r="D158" s="77" t="s">
        <v>575</v>
      </c>
      <c r="E158" s="77" t="s">
        <v>731</v>
      </c>
      <c r="F158" s="79" t="s">
        <v>1057</v>
      </c>
      <c r="G158" s="77"/>
      <c r="H158" s="77" t="s">
        <v>1182</v>
      </c>
      <c r="I158" s="81" t="s">
        <v>441</v>
      </c>
      <c r="J158" s="81" t="s">
        <v>435</v>
      </c>
      <c r="K158" s="82"/>
      <c r="L158" s="82">
        <v>12500000</v>
      </c>
      <c r="M158" s="80" t="str">
        <f>VLOOKUP(I158,SDDK!$C$6:$D$200,2,0)</f>
        <v>Hao mòn TSCĐ hữu hình lũy kế (*)</v>
      </c>
      <c r="N158" s="80" t="str">
        <f>VLOOKUP(J158,SDDK!$C$6:$D$200,2,0)</f>
        <v>Nguyên giá tài sản cố định hữu hình</v>
      </c>
    </row>
    <row r="159" spans="1:14" ht="12.75">
      <c r="A159" s="76" t="str">
        <f t="shared" si="2"/>
        <v>29/10/2020</v>
      </c>
      <c r="B159" s="78"/>
      <c r="C159" s="78"/>
      <c r="D159" s="77" t="s">
        <v>575</v>
      </c>
      <c r="E159" s="77" t="s">
        <v>732</v>
      </c>
      <c r="F159" s="79" t="s">
        <v>1057</v>
      </c>
      <c r="G159" s="77"/>
      <c r="H159" s="77" t="s">
        <v>1183</v>
      </c>
      <c r="I159" s="81" t="s">
        <v>101</v>
      </c>
      <c r="J159" s="81" t="s">
        <v>435</v>
      </c>
      <c r="K159" s="82"/>
      <c r="L159" s="82">
        <v>29500000</v>
      </c>
      <c r="M159" s="80" t="str">
        <f>VLOOKUP(I159,SDDK!$C$6:$D$200,2,0)</f>
        <v>Chi phí khác</v>
      </c>
      <c r="N159" s="80" t="str">
        <f>VLOOKUP(J159,SDDK!$C$6:$D$200,2,0)</f>
        <v>Nguyên giá tài sản cố định hữu hình</v>
      </c>
    </row>
    <row r="160" spans="1:14" ht="12.75">
      <c r="A160" s="76" t="str">
        <f t="shared" si="2"/>
        <v>29/10/2020</v>
      </c>
      <c r="B160" s="77" t="s">
        <v>280</v>
      </c>
      <c r="C160" s="78"/>
      <c r="D160" s="78"/>
      <c r="E160" s="78" t="s">
        <v>698</v>
      </c>
      <c r="F160" s="79" t="s">
        <v>1057</v>
      </c>
      <c r="G160" s="77" t="s">
        <v>187</v>
      </c>
      <c r="H160" s="77" t="s">
        <v>1184</v>
      </c>
      <c r="I160" s="81" t="s">
        <v>371</v>
      </c>
      <c r="J160" s="81" t="s">
        <v>429</v>
      </c>
      <c r="K160" s="82"/>
      <c r="L160" s="82">
        <v>2000000</v>
      </c>
      <c r="M160" s="80" t="str">
        <f>VLOOKUP(I160,SDDK!$C$6:$D$200,2,0)</f>
        <v>Tiền mặt tại quỹ, ngân phiếu (VNĐ)</v>
      </c>
      <c r="N160" s="80" t="str">
        <f>VLOOKUP(J160,SDDK!$C$6:$D$200,2,0)</f>
        <v>Chi phí SXKD dở dang Vải thun coton (giá kế hoạch 4600)</v>
      </c>
    </row>
    <row r="161" spans="1:14" ht="12.75">
      <c r="A161" s="76" t="str">
        <f t="shared" si="2"/>
        <v>29/10/2020</v>
      </c>
      <c r="B161" s="78"/>
      <c r="C161" s="78"/>
      <c r="D161" s="77" t="s">
        <v>576</v>
      </c>
      <c r="E161" s="77" t="s">
        <v>699</v>
      </c>
      <c r="F161" s="79" t="s">
        <v>1057</v>
      </c>
      <c r="G161" s="77"/>
      <c r="H161" s="77" t="s">
        <v>1185</v>
      </c>
      <c r="I161" s="81" t="s">
        <v>413</v>
      </c>
      <c r="J161" s="81" t="s">
        <v>99</v>
      </c>
      <c r="K161" s="84"/>
      <c r="L161" s="84">
        <v>1200000</v>
      </c>
      <c r="M161" s="80" t="str">
        <f>VLOOKUP(I161,SDDK!$C$6:$D$200,2,0)</f>
        <v>Các khoản phải thu khác (Thuế TNDN được giảm)</v>
      </c>
      <c r="N161" s="80" t="str">
        <f>VLOOKUP(J161,SDDK!$C$6:$D$200,2,0)</f>
        <v>Các khoản thu nhập khác - không phải nộp thuế thu nhập</v>
      </c>
    </row>
    <row r="162" spans="1:14" ht="12.75">
      <c r="A162" s="76" t="str">
        <f t="shared" si="2"/>
        <v>29/10/2020</v>
      </c>
      <c r="B162" s="78"/>
      <c r="C162" s="77"/>
      <c r="D162" s="77" t="s">
        <v>733</v>
      </c>
      <c r="E162" s="77" t="s">
        <v>734</v>
      </c>
      <c r="F162" s="79" t="s">
        <v>1057</v>
      </c>
      <c r="G162" s="77" t="s">
        <v>187</v>
      </c>
      <c r="H162" s="77" t="s">
        <v>1186</v>
      </c>
      <c r="I162" s="83" t="s">
        <v>423</v>
      </c>
      <c r="J162" s="81" t="s">
        <v>421</v>
      </c>
      <c r="K162" s="82"/>
      <c r="L162" s="82">
        <v>1000000</v>
      </c>
      <c r="M162" s="80" t="str">
        <f>VLOOKUP(I162,SDDK!$C$6:$D$200,2,0)</f>
        <v>Sợi thun coton thô</v>
      </c>
      <c r="N162" s="80" t="str">
        <f>VLOOKUP(J162,SDDK!$C$6:$D$200,2,0)</f>
        <v>Nguyễn Minh Ngân</v>
      </c>
    </row>
    <row r="163" spans="1:14" ht="12.75">
      <c r="A163" s="76" t="str">
        <f t="shared" si="2"/>
        <v>29/10/2020</v>
      </c>
      <c r="B163" s="78"/>
      <c r="C163" s="77" t="s">
        <v>274</v>
      </c>
      <c r="D163" s="77"/>
      <c r="E163" s="78"/>
      <c r="F163" s="79" t="s">
        <v>1057</v>
      </c>
      <c r="G163" s="77" t="s">
        <v>649</v>
      </c>
      <c r="H163" s="77" t="s">
        <v>1171</v>
      </c>
      <c r="I163" s="81" t="s">
        <v>27</v>
      </c>
      <c r="J163" s="83" t="s">
        <v>424</v>
      </c>
      <c r="K163" s="82">
        <v>10000</v>
      </c>
      <c r="L163" s="82">
        <f>K163*10651</f>
        <v>106510000</v>
      </c>
      <c r="M163" s="80" t="str">
        <f>VLOOKUP(I163,SDDK!$C$6:$D$200,2,0)</f>
        <v>Chi phí NVL trực tiếp cho Thảm lót chân</v>
      </c>
      <c r="N163" s="80" t="str">
        <f>VLOOKUP(J163,SDDK!$C$6:$D$200,2,0)</f>
        <v>Thuốc nhuộm màu xanh đen C02</v>
      </c>
    </row>
    <row r="164" spans="1:14" ht="12.75">
      <c r="A164" s="76" t="str">
        <f t="shared" si="2"/>
        <v>29/10/2020</v>
      </c>
      <c r="B164" s="78"/>
      <c r="C164" s="77" t="s">
        <v>274</v>
      </c>
      <c r="D164" s="77"/>
      <c r="E164" s="78"/>
      <c r="F164" s="79" t="s">
        <v>1057</v>
      </c>
      <c r="G164" s="77" t="s">
        <v>649</v>
      </c>
      <c r="H164" s="77" t="s">
        <v>1170</v>
      </c>
      <c r="I164" s="81" t="s">
        <v>29</v>
      </c>
      <c r="J164" s="81" t="s">
        <v>424</v>
      </c>
      <c r="K164" s="82">
        <v>1275</v>
      </c>
      <c r="L164" s="82">
        <f>K164*10651</f>
        <v>13580025</v>
      </c>
      <c r="M164" s="80" t="str">
        <f>VLOOKUP(I164,SDDK!$C$6:$D$200,2,0)</f>
        <v>Chi phí NVL trực tiếp cho Dịch vụ sửa chữa</v>
      </c>
      <c r="N164" s="80" t="str">
        <f>VLOOKUP(J164,SDDK!$C$6:$D$200,2,0)</f>
        <v>Thuốc nhuộm màu xanh đen C02</v>
      </c>
    </row>
    <row r="165" spans="1:14" ht="12.75">
      <c r="A165" s="76" t="str">
        <f t="shared" si="2"/>
        <v>29/10/2020</v>
      </c>
      <c r="B165" s="78"/>
      <c r="C165" s="77" t="s">
        <v>274</v>
      </c>
      <c r="D165" s="77"/>
      <c r="E165" s="78"/>
      <c r="F165" s="79" t="s">
        <v>1057</v>
      </c>
      <c r="G165" s="77" t="s">
        <v>649</v>
      </c>
      <c r="H165" s="77" t="s">
        <v>1171</v>
      </c>
      <c r="I165" s="81" t="s">
        <v>38</v>
      </c>
      <c r="J165" s="81" t="s">
        <v>424</v>
      </c>
      <c r="K165" s="82">
        <v>510</v>
      </c>
      <c r="L165" s="82">
        <f>K165*10651</f>
        <v>5432010</v>
      </c>
      <c r="M165" s="80" t="str">
        <f>VLOOKUP(I165,SDDK!$C$6:$D$200,2,0)</f>
        <v>Chi phí nguyên vật liệu  PX1</v>
      </c>
      <c r="N165" s="80" t="str">
        <f>VLOOKUP(J165,SDDK!$C$6:$D$200,2,0)</f>
        <v>Thuốc nhuộm màu xanh đen C02</v>
      </c>
    </row>
    <row r="166" spans="1:14" ht="12.75">
      <c r="A166" s="76" t="str">
        <f t="shared" si="2"/>
        <v>29/10/2020</v>
      </c>
      <c r="B166" s="78"/>
      <c r="C166" s="77" t="s">
        <v>274</v>
      </c>
      <c r="D166" s="77"/>
      <c r="E166" s="78"/>
      <c r="F166" s="79" t="s">
        <v>1057</v>
      </c>
      <c r="G166" s="77" t="s">
        <v>649</v>
      </c>
      <c r="H166" s="77" t="s">
        <v>1172</v>
      </c>
      <c r="I166" s="81" t="s">
        <v>40</v>
      </c>
      <c r="J166" s="81" t="s">
        <v>424</v>
      </c>
      <c r="K166" s="82">
        <v>1275</v>
      </c>
      <c r="L166" s="82">
        <f>K166*10651</f>
        <v>13580025</v>
      </c>
      <c r="M166" s="80" t="str">
        <f>VLOOKUP(I166,SDDK!$C$6:$D$200,2,0)</f>
        <v>Chi phí nguyên vật liệu  PX2</v>
      </c>
      <c r="N166" s="80" t="str">
        <f>VLOOKUP(J166,SDDK!$C$6:$D$200,2,0)</f>
        <v>Thuốc nhuộm màu xanh đen C02</v>
      </c>
    </row>
    <row r="167" spans="1:14" ht="12.75">
      <c r="A167" s="76" t="str">
        <f t="shared" si="2"/>
        <v>29/10/2020</v>
      </c>
      <c r="B167" s="78"/>
      <c r="C167" s="77" t="s">
        <v>274</v>
      </c>
      <c r="D167" s="77"/>
      <c r="E167" s="78"/>
      <c r="F167" s="79" t="s">
        <v>1057</v>
      </c>
      <c r="G167" s="77" t="s">
        <v>649</v>
      </c>
      <c r="H167" s="77" t="s">
        <v>1149</v>
      </c>
      <c r="I167" s="81" t="s">
        <v>70</v>
      </c>
      <c r="J167" s="81" t="s">
        <v>424</v>
      </c>
      <c r="K167" s="82">
        <v>340</v>
      </c>
      <c r="L167" s="82">
        <f>K167*10651</f>
        <v>3621340</v>
      </c>
      <c r="M167" s="80" t="str">
        <f>VLOOKUP(I167,SDDK!$C$6:$D$200,2,0)</f>
        <v>Chi phí vật liệu, bao bì hàng bán</v>
      </c>
      <c r="N167" s="80" t="str">
        <f>VLOOKUP(J167,SDDK!$C$6:$D$200,2,0)</f>
        <v>Thuốc nhuộm màu xanh đen C02</v>
      </c>
    </row>
    <row r="168" spans="1:14" ht="12.75">
      <c r="A168" s="76" t="str">
        <f t="shared" si="2"/>
        <v>29/10/2020</v>
      </c>
      <c r="B168" s="78"/>
      <c r="C168" s="77" t="s">
        <v>275</v>
      </c>
      <c r="D168" s="77"/>
      <c r="E168" s="78"/>
      <c r="F168" s="79" t="s">
        <v>1057</v>
      </c>
      <c r="G168" s="77" t="s">
        <v>649</v>
      </c>
      <c r="H168" s="77" t="s">
        <v>1174</v>
      </c>
      <c r="I168" s="81" t="s">
        <v>38</v>
      </c>
      <c r="J168" s="83" t="s">
        <v>426</v>
      </c>
      <c r="K168" s="82">
        <v>248</v>
      </c>
      <c r="L168" s="82">
        <f>K168*16371</f>
        <v>4060008</v>
      </c>
      <c r="M168" s="80" t="str">
        <f>VLOOKUP(I168,SDDK!$C$6:$D$200,2,0)</f>
        <v>Chi phí nguyên vật liệu  PX1</v>
      </c>
      <c r="N168" s="80" t="str">
        <f>VLOOKUP(J168,SDDK!$C$6:$D$200,2,0)</f>
        <v>Nhiên liệu Dầu nhớt Deizel</v>
      </c>
    </row>
    <row r="169" spans="1:14" ht="12.75">
      <c r="A169" s="76" t="str">
        <f t="shared" si="2"/>
        <v>29/10/2020</v>
      </c>
      <c r="B169" s="78"/>
      <c r="C169" s="77" t="s">
        <v>275</v>
      </c>
      <c r="D169" s="77"/>
      <c r="E169" s="78"/>
      <c r="F169" s="79" t="s">
        <v>1057</v>
      </c>
      <c r="G169" s="77" t="s">
        <v>649</v>
      </c>
      <c r="H169" s="77" t="s">
        <v>1175</v>
      </c>
      <c r="I169" s="81" t="s">
        <v>40</v>
      </c>
      <c r="J169" s="83" t="s">
        <v>426</v>
      </c>
      <c r="K169" s="82">
        <v>26</v>
      </c>
      <c r="L169" s="82">
        <f>K169*16371</f>
        <v>425646</v>
      </c>
      <c r="M169" s="80" t="str">
        <f>VLOOKUP(I169,SDDK!$C$6:$D$200,2,0)</f>
        <v>Chi phí nguyên vật liệu  PX2</v>
      </c>
      <c r="N169" s="80" t="str">
        <f>VLOOKUP(J169,SDDK!$C$6:$D$200,2,0)</f>
        <v>Nhiên liệu Dầu nhớt Deizel</v>
      </c>
    </row>
    <row r="170" spans="1:14" ht="12.75">
      <c r="A170" s="76" t="str">
        <f t="shared" si="2"/>
        <v>29/10/2020</v>
      </c>
      <c r="B170" s="78"/>
      <c r="C170" s="77" t="s">
        <v>275</v>
      </c>
      <c r="D170" s="77"/>
      <c r="E170" s="78"/>
      <c r="F170" s="79" t="s">
        <v>1057</v>
      </c>
      <c r="G170" s="77" t="s">
        <v>649</v>
      </c>
      <c r="H170" s="77" t="s">
        <v>1187</v>
      </c>
      <c r="I170" s="81" t="s">
        <v>84</v>
      </c>
      <c r="J170" s="83" t="s">
        <v>426</v>
      </c>
      <c r="K170" s="82">
        <v>33</v>
      </c>
      <c r="L170" s="82">
        <f>K170*16371</f>
        <v>540243</v>
      </c>
      <c r="M170" s="80" t="str">
        <f>VLOOKUP(I170,SDDK!$C$6:$D$200,2,0)</f>
        <v>Chi phí vật liệu quản lý doanh nghiệp</v>
      </c>
      <c r="N170" s="80" t="str">
        <f>VLOOKUP(J170,SDDK!$C$6:$D$200,2,0)</f>
        <v>Nhiên liệu Dầu nhớt Deizel</v>
      </c>
    </row>
    <row r="171" spans="1:14" ht="12.75">
      <c r="A171" s="76" t="str">
        <f t="shared" si="2"/>
        <v>29/10/2020</v>
      </c>
      <c r="B171" s="77"/>
      <c r="C171" s="78"/>
      <c r="D171" s="77" t="s">
        <v>577</v>
      </c>
      <c r="E171" s="78" t="s">
        <v>700</v>
      </c>
      <c r="F171" s="79" t="s">
        <v>1057</v>
      </c>
      <c r="G171" s="77" t="s">
        <v>187</v>
      </c>
      <c r="H171" s="77" t="s">
        <v>1188</v>
      </c>
      <c r="I171" s="81" t="s">
        <v>852</v>
      </c>
      <c r="J171" s="81" t="s">
        <v>374</v>
      </c>
      <c r="K171" s="82"/>
      <c r="L171" s="82">
        <v>5000000</v>
      </c>
      <c r="M171" s="80" t="str">
        <f>VLOOKUP(I171,SDDK!$C$6:$D$200,2,0)</f>
        <v>Chi phí trả trước ngắn hạn - VPP</v>
      </c>
      <c r="N171" s="80" t="str">
        <f>VLOOKUP(J171,SDDK!$C$6:$D$200,2,0)</f>
        <v>Tiền gửi ngân hàng (VNĐ)</v>
      </c>
    </row>
    <row r="172" spans="1:14" ht="12.75">
      <c r="A172" s="76" t="str">
        <f t="shared" si="2"/>
        <v>29/10/2020</v>
      </c>
      <c r="B172" s="78"/>
      <c r="C172" s="78"/>
      <c r="D172" s="77" t="s">
        <v>578</v>
      </c>
      <c r="E172" s="78" t="s">
        <v>701</v>
      </c>
      <c r="F172" s="79" t="s">
        <v>1057</v>
      </c>
      <c r="G172" s="77"/>
      <c r="H172" s="77" t="s">
        <v>1189</v>
      </c>
      <c r="I172" s="81" t="s">
        <v>86</v>
      </c>
      <c r="J172" s="81" t="s">
        <v>852</v>
      </c>
      <c r="K172" s="82"/>
      <c r="L172" s="82">
        <f>L171/2</f>
        <v>2500000</v>
      </c>
      <c r="M172" s="80" t="str">
        <f>VLOOKUP(I172,SDDK!$C$6:$D$200,2,0)</f>
        <v>Chi phí dụng cụ, đồ dùng quản lý doanh nghiệp</v>
      </c>
      <c r="N172" s="80" t="str">
        <f>VLOOKUP(J172,SDDK!$C$6:$D$200,2,0)</f>
        <v>Chi phí trả trước ngắn hạn - VPP</v>
      </c>
    </row>
    <row r="173" spans="1:14" ht="12.75">
      <c r="A173" s="76" t="str">
        <f t="shared" si="2"/>
        <v>29/10/2020</v>
      </c>
      <c r="B173" s="77"/>
      <c r="C173" s="78"/>
      <c r="D173" s="77" t="s">
        <v>579</v>
      </c>
      <c r="E173" s="78" t="s">
        <v>702</v>
      </c>
      <c r="F173" s="79" t="s">
        <v>1057</v>
      </c>
      <c r="G173" s="77" t="s">
        <v>801</v>
      </c>
      <c r="H173" s="77" t="s">
        <v>1190</v>
      </c>
      <c r="I173" s="81" t="s">
        <v>463</v>
      </c>
      <c r="J173" s="81" t="s">
        <v>374</v>
      </c>
      <c r="K173" s="82"/>
      <c r="L173" s="82">
        <v>52000000</v>
      </c>
      <c r="M173" s="80" t="str">
        <f>VLOOKUP(I173,SDDK!$C$6:$D$200,2,0)</f>
        <v>Phải trả ngắn hạn Công ty Kinh Doanh Thép Việt</v>
      </c>
      <c r="N173" s="80" t="str">
        <f>VLOOKUP(J173,SDDK!$C$6:$D$200,2,0)</f>
        <v>Tiền gửi ngân hàng (VNĐ)</v>
      </c>
    </row>
    <row r="174" spans="1:14" ht="12.75">
      <c r="A174" s="76" t="str">
        <f t="shared" si="2"/>
        <v>29/10/2020</v>
      </c>
      <c r="B174" s="77"/>
      <c r="C174" s="78"/>
      <c r="D174" s="77" t="s">
        <v>580</v>
      </c>
      <c r="E174" s="78" t="s">
        <v>703</v>
      </c>
      <c r="F174" s="79" t="s">
        <v>1057</v>
      </c>
      <c r="G174" s="77" t="s">
        <v>798</v>
      </c>
      <c r="H174" s="77" t="s">
        <v>1191</v>
      </c>
      <c r="I174" s="81" t="s">
        <v>467</v>
      </c>
      <c r="J174" s="81" t="s">
        <v>374</v>
      </c>
      <c r="K174" s="82"/>
      <c r="L174" s="82">
        <v>90000000</v>
      </c>
      <c r="M174" s="80" t="str">
        <f>VLOOKUP(I174,SDDK!$C$6:$D$200,2,0)</f>
        <v>Phải trả ngắn hạn Công ty TNHH Vĩnh viễn</v>
      </c>
      <c r="N174" s="80" t="str">
        <f>VLOOKUP(J174,SDDK!$C$6:$D$200,2,0)</f>
        <v>Tiền gửi ngân hàng (VNĐ)</v>
      </c>
    </row>
    <row r="175" spans="1:14" ht="12.75">
      <c r="A175" s="76" t="str">
        <f t="shared" si="2"/>
        <v>29/10/2020</v>
      </c>
      <c r="B175" s="78"/>
      <c r="C175" s="77" t="s">
        <v>282</v>
      </c>
      <c r="D175" s="77"/>
      <c r="E175" s="78"/>
      <c r="F175" s="79" t="s">
        <v>1057</v>
      </c>
      <c r="G175" s="77" t="s">
        <v>649</v>
      </c>
      <c r="H175" s="77" t="s">
        <v>1192</v>
      </c>
      <c r="I175" s="81" t="s">
        <v>432</v>
      </c>
      <c r="J175" s="81" t="s">
        <v>429</v>
      </c>
      <c r="K175" s="82">
        <v>500</v>
      </c>
      <c r="L175" s="82">
        <f>500*390500</f>
        <v>195250000</v>
      </c>
      <c r="M175" s="80" t="str">
        <f>VLOOKUP(I175,SDDK!$C$6:$D$200,2,0)</f>
        <v>Vải thun coton</v>
      </c>
      <c r="N175" s="80" t="str">
        <f>VLOOKUP(J175,SDDK!$C$6:$D$200,2,0)</f>
        <v>Chi phí SXKD dở dang Vải thun coton (giá kế hoạch 4600)</v>
      </c>
    </row>
    <row r="176" spans="1:14" ht="12.75">
      <c r="A176" s="76" t="str">
        <f t="shared" si="2"/>
        <v>29/10/2020</v>
      </c>
      <c r="B176" s="78"/>
      <c r="C176" s="77" t="s">
        <v>283</v>
      </c>
      <c r="D176" s="77"/>
      <c r="E176" s="78"/>
      <c r="F176" s="79" t="s">
        <v>1057</v>
      </c>
      <c r="G176" s="77" t="s">
        <v>649</v>
      </c>
      <c r="H176" s="77" t="s">
        <v>1193</v>
      </c>
      <c r="I176" s="81" t="s">
        <v>62</v>
      </c>
      <c r="J176" s="81" t="s">
        <v>432</v>
      </c>
      <c r="K176" s="82">
        <v>166</v>
      </c>
      <c r="L176" s="82">
        <f>K176*392500</f>
        <v>65155000</v>
      </c>
      <c r="M176" s="80" t="str">
        <f>VLOOKUP(I176,SDDK!$C$6:$D$200,2,0)</f>
        <v>Giá vốn hàng bán</v>
      </c>
      <c r="N176" s="80" t="str">
        <f>VLOOKUP(J176,SDDK!$C$6:$D$200,2,0)</f>
        <v>Vải thun coton</v>
      </c>
    </row>
    <row r="177" spans="1:14" ht="12.75">
      <c r="A177" s="76" t="str">
        <f t="shared" si="2"/>
        <v>29/10/2020</v>
      </c>
      <c r="B177" s="78"/>
      <c r="C177" s="77"/>
      <c r="D177" s="77" t="s">
        <v>581</v>
      </c>
      <c r="E177" s="78" t="s">
        <v>704</v>
      </c>
      <c r="F177" s="79" t="s">
        <v>1057</v>
      </c>
      <c r="G177" s="77" t="s">
        <v>1047</v>
      </c>
      <c r="H177" s="77" t="s">
        <v>1194</v>
      </c>
      <c r="I177" s="81" t="s">
        <v>401</v>
      </c>
      <c r="J177" s="81" t="s">
        <v>15</v>
      </c>
      <c r="K177" s="82">
        <v>166</v>
      </c>
      <c r="L177" s="82">
        <f>166*510000</f>
        <v>84660000</v>
      </c>
      <c r="M177" s="80" t="str">
        <f>VLOOKUP(I177,SDDK!$C$6:$D$200,2,0)</f>
        <v>Phải thu dài hạn Công ty CP Hoa Sen</v>
      </c>
      <c r="N177" s="80" t="str">
        <f>VLOOKUP(J177,SDDK!$C$6:$D$200,2,0)</f>
        <v>Doanh thu bán thành phẩm</v>
      </c>
    </row>
    <row r="178" spans="1:14" ht="12.75">
      <c r="A178" s="76" t="str">
        <f t="shared" si="2"/>
        <v>29/10/2020</v>
      </c>
      <c r="B178" s="78"/>
      <c r="C178" s="77"/>
      <c r="D178" s="77" t="s">
        <v>582</v>
      </c>
      <c r="E178" s="78" t="s">
        <v>704</v>
      </c>
      <c r="F178" s="79" t="s">
        <v>1057</v>
      </c>
      <c r="G178" s="77" t="s">
        <v>1047</v>
      </c>
      <c r="H178" s="77" t="s">
        <v>1102</v>
      </c>
      <c r="I178" s="81" t="s">
        <v>401</v>
      </c>
      <c r="J178" s="81" t="s">
        <v>155</v>
      </c>
      <c r="K178" s="82"/>
      <c r="L178" s="82">
        <f>L177*0.1</f>
        <v>8466000</v>
      </c>
      <c r="M178" s="80" t="str">
        <f>VLOOKUP(I178,SDDK!$C$6:$D$200,2,0)</f>
        <v>Phải thu dài hạn Công ty CP Hoa Sen</v>
      </c>
      <c r="N178" s="80" t="str">
        <f>VLOOKUP(J178,SDDK!$C$6:$D$200,2,0)</f>
        <v>Thuế GTGT đầu ra hoạt động kinh doanh</v>
      </c>
    </row>
    <row r="179" spans="1:14" ht="12.75">
      <c r="A179" s="76" t="str">
        <f t="shared" si="2"/>
        <v>29/10/2020</v>
      </c>
      <c r="B179" s="78"/>
      <c r="C179" s="78"/>
      <c r="D179" s="77" t="s">
        <v>583</v>
      </c>
      <c r="E179" s="78" t="s">
        <v>705</v>
      </c>
      <c r="F179" s="79" t="s">
        <v>1057</v>
      </c>
      <c r="G179" s="1" t="s">
        <v>817</v>
      </c>
      <c r="H179" s="77" t="s">
        <v>1195</v>
      </c>
      <c r="I179" s="81" t="s">
        <v>773</v>
      </c>
      <c r="J179" s="81" t="s">
        <v>469</v>
      </c>
      <c r="K179" s="82"/>
      <c r="L179" s="82">
        <v>30000000</v>
      </c>
      <c r="M179" s="80" t="str">
        <f>VLOOKUP(I179,SDDK!$C$6:$D$200,2,0)</f>
        <v>Xây dựng cơ bản dở dang</v>
      </c>
      <c r="N179" s="80" t="str">
        <f>VLOOKUP(J179,SDDK!$C$6:$D$200,2,0)</f>
        <v>Phải trả ngắn hạn Công ty TNHH Yến Phi</v>
      </c>
    </row>
    <row r="180" spans="1:14" ht="12.75">
      <c r="A180" s="76" t="str">
        <f t="shared" si="2"/>
        <v>29/10/2020</v>
      </c>
      <c r="B180" s="78"/>
      <c r="C180" s="78"/>
      <c r="D180" s="77" t="s">
        <v>583</v>
      </c>
      <c r="E180" s="78" t="s">
        <v>705</v>
      </c>
      <c r="F180" s="79" t="s">
        <v>1057</v>
      </c>
      <c r="G180" s="1" t="s">
        <v>817</v>
      </c>
      <c r="H180" s="77" t="s">
        <v>1196</v>
      </c>
      <c r="I180" s="81" t="s">
        <v>402</v>
      </c>
      <c r="J180" s="81" t="s">
        <v>469</v>
      </c>
      <c r="K180" s="82"/>
      <c r="L180" s="82">
        <v>3000000</v>
      </c>
      <c r="M180" s="80" t="str">
        <f>VLOOKUP(I180,SDDK!$C$6:$D$200,2,0)</f>
        <v>Thuế GTGT được khấu trừ của hàng hóa, dịch vụ</v>
      </c>
      <c r="N180" s="80" t="str">
        <f>VLOOKUP(J180,SDDK!$C$6:$D$200,2,0)</f>
        <v>Phải trả ngắn hạn Công ty TNHH Yến Phi</v>
      </c>
    </row>
    <row r="181" spans="1:14" ht="12.75">
      <c r="A181" s="76" t="str">
        <f t="shared" si="2"/>
        <v>29/10/2020</v>
      </c>
      <c r="B181" s="78"/>
      <c r="C181" s="78"/>
      <c r="D181" s="77" t="s">
        <v>584</v>
      </c>
      <c r="E181" s="78" t="s">
        <v>706</v>
      </c>
      <c r="F181" s="79" t="s">
        <v>1057</v>
      </c>
      <c r="G181" s="77"/>
      <c r="H181" s="77" t="s">
        <v>1197</v>
      </c>
      <c r="I181" s="81" t="s">
        <v>96</v>
      </c>
      <c r="J181" s="81" t="s">
        <v>421</v>
      </c>
      <c r="K181" s="82"/>
      <c r="L181" s="82">
        <v>600000</v>
      </c>
      <c r="M181" s="80" t="str">
        <f>VLOOKUP(I181,SDDK!$C$6:$D$200,2,0)</f>
        <v>Chi phí bằng tiền khác quản lý doanh nghiệp</v>
      </c>
      <c r="N181" s="80" t="str">
        <f>VLOOKUP(J181,SDDK!$C$6:$D$200,2,0)</f>
        <v>Nguyễn Minh Ngân</v>
      </c>
    </row>
    <row r="182" spans="1:14" ht="12.75">
      <c r="A182" s="76" t="str">
        <f t="shared" si="2"/>
        <v>29/10/2020</v>
      </c>
      <c r="B182" s="78"/>
      <c r="C182" s="77" t="s">
        <v>281</v>
      </c>
      <c r="D182" s="77" t="s">
        <v>584</v>
      </c>
      <c r="E182" s="78" t="s">
        <v>707</v>
      </c>
      <c r="F182" s="79" t="s">
        <v>1057</v>
      </c>
      <c r="G182" s="77" t="s">
        <v>187</v>
      </c>
      <c r="H182" s="77" t="s">
        <v>1198</v>
      </c>
      <c r="I182" s="83" t="s">
        <v>427</v>
      </c>
      <c r="J182" s="81" t="s">
        <v>421</v>
      </c>
      <c r="K182" s="82">
        <v>67</v>
      </c>
      <c r="L182" s="82">
        <f>67*2240</f>
        <v>150080</v>
      </c>
      <c r="M182" s="80" t="str">
        <f>VLOOKUP(I182,SDDK!$C$6:$D$200,2,0)</f>
        <v>Ốc vít, bù loong.</v>
      </c>
      <c r="N182" s="80" t="str">
        <f>VLOOKUP(J182,SDDK!$C$6:$D$200,2,0)</f>
        <v>Nguyễn Minh Ngân</v>
      </c>
    </row>
    <row r="183" spans="1:14" ht="12.75">
      <c r="A183" s="76" t="str">
        <f t="shared" si="2"/>
        <v>29/10/2020</v>
      </c>
      <c r="B183" s="78"/>
      <c r="C183" s="77" t="s">
        <v>276</v>
      </c>
      <c r="D183" s="77"/>
      <c r="E183" s="78"/>
      <c r="F183" s="79" t="s">
        <v>1057</v>
      </c>
      <c r="G183" s="77" t="s">
        <v>649</v>
      </c>
      <c r="H183" s="77" t="s">
        <v>1177</v>
      </c>
      <c r="I183" s="81" t="s">
        <v>38</v>
      </c>
      <c r="J183" s="83" t="s">
        <v>427</v>
      </c>
      <c r="K183" s="82">
        <v>340</v>
      </c>
      <c r="L183" s="82">
        <f>K183*2140</f>
        <v>727600</v>
      </c>
      <c r="M183" s="80" t="str">
        <f>VLOOKUP(I183,SDDK!$C$6:$D$200,2,0)</f>
        <v>Chi phí nguyên vật liệu  PX1</v>
      </c>
      <c r="N183" s="80" t="str">
        <f>VLOOKUP(J183,SDDK!$C$6:$D$200,2,0)</f>
        <v>Ốc vít, bù loong.</v>
      </c>
    </row>
    <row r="184" spans="1:14" ht="12.75">
      <c r="A184" s="76" t="str">
        <f t="shared" si="2"/>
        <v>29/10/2020</v>
      </c>
      <c r="B184" s="78"/>
      <c r="C184" s="77" t="s">
        <v>276</v>
      </c>
      <c r="D184" s="77"/>
      <c r="E184" s="78"/>
      <c r="F184" s="79" t="s">
        <v>1057</v>
      </c>
      <c r="G184" s="77" t="s">
        <v>649</v>
      </c>
      <c r="H184" s="77" t="s">
        <v>1177</v>
      </c>
      <c r="I184" s="81" t="s">
        <v>40</v>
      </c>
      <c r="J184" s="83" t="s">
        <v>427</v>
      </c>
      <c r="K184" s="82">
        <v>68</v>
      </c>
      <c r="L184" s="82">
        <f>K184*2140</f>
        <v>145520</v>
      </c>
      <c r="M184" s="80" t="str">
        <f>VLOOKUP(I184,SDDK!$C$6:$D$200,2,0)</f>
        <v>Chi phí nguyên vật liệu  PX2</v>
      </c>
      <c r="N184" s="80" t="str">
        <f>VLOOKUP(J184,SDDK!$C$6:$D$200,2,0)</f>
        <v>Ốc vít, bù loong.</v>
      </c>
    </row>
    <row r="185" spans="1:14" ht="12.75">
      <c r="A185" s="76" t="str">
        <f t="shared" si="2"/>
        <v>29/10/2020</v>
      </c>
      <c r="B185" s="78"/>
      <c r="C185" s="77" t="s">
        <v>276</v>
      </c>
      <c r="D185" s="77"/>
      <c r="E185" s="78"/>
      <c r="F185" s="79" t="s">
        <v>1057</v>
      </c>
      <c r="G185" s="77" t="s">
        <v>649</v>
      </c>
      <c r="H185" s="77" t="s">
        <v>1177</v>
      </c>
      <c r="I185" s="81" t="s">
        <v>84</v>
      </c>
      <c r="J185" s="83" t="s">
        <v>427</v>
      </c>
      <c r="K185" s="82">
        <v>34</v>
      </c>
      <c r="L185" s="82">
        <f>K185*2140</f>
        <v>72760</v>
      </c>
      <c r="M185" s="80" t="str">
        <f>VLOOKUP(I185,SDDK!$C$6:$D$200,2,0)</f>
        <v>Chi phí vật liệu quản lý doanh nghiệp</v>
      </c>
      <c r="N185" s="80" t="str">
        <f>VLOOKUP(J185,SDDK!$C$6:$D$200,2,0)</f>
        <v>Ốc vít, bù loong.</v>
      </c>
    </row>
    <row r="186" spans="1:14" ht="12.75">
      <c r="A186" s="76" t="str">
        <f t="shared" si="2"/>
        <v>29/10/2020</v>
      </c>
      <c r="B186" s="77"/>
      <c r="C186" s="78"/>
      <c r="D186" s="77" t="s">
        <v>584</v>
      </c>
      <c r="E186" s="78" t="s">
        <v>708</v>
      </c>
      <c r="F186" s="79" t="s">
        <v>1057</v>
      </c>
      <c r="G186" s="77" t="s">
        <v>187</v>
      </c>
      <c r="H186" s="77" t="s">
        <v>1199</v>
      </c>
      <c r="I186" s="81" t="s">
        <v>155</v>
      </c>
      <c r="J186" s="81" t="s">
        <v>374</v>
      </c>
      <c r="K186" s="82"/>
      <c r="L186" s="82">
        <v>250000</v>
      </c>
      <c r="M186" s="80" t="str">
        <f>VLOOKUP(I186,SDDK!$C$6:$D$200,2,0)</f>
        <v>Thuế GTGT đầu ra hoạt động kinh doanh</v>
      </c>
      <c r="N186" s="80" t="str">
        <f>VLOOKUP(J186,SDDK!$C$6:$D$200,2,0)</f>
        <v>Tiền gửi ngân hàng (VNĐ)</v>
      </c>
    </row>
    <row r="187" spans="1:14" ht="12.75">
      <c r="A187" s="76" t="str">
        <f t="shared" si="2"/>
        <v>29/10/2020</v>
      </c>
      <c r="B187" s="77"/>
      <c r="C187" s="78"/>
      <c r="D187" s="77" t="s">
        <v>585</v>
      </c>
      <c r="E187" s="78" t="s">
        <v>708</v>
      </c>
      <c r="F187" s="79" t="s">
        <v>1057</v>
      </c>
      <c r="G187" s="77" t="s">
        <v>187</v>
      </c>
      <c r="H187" s="77" t="s">
        <v>1200</v>
      </c>
      <c r="I187" s="81" t="s">
        <v>484</v>
      </c>
      <c r="J187" s="81" t="s">
        <v>374</v>
      </c>
      <c r="K187" s="82"/>
      <c r="L187" s="82">
        <v>1200000</v>
      </c>
      <c r="M187" s="80" t="str">
        <f>VLOOKUP(I187,SDDK!$C$6:$D$200,2,0)</f>
        <v>Thuế thu nhập DN</v>
      </c>
      <c r="N187" s="80" t="str">
        <f>VLOOKUP(J187,SDDK!$C$6:$D$200,2,0)</f>
        <v>Tiền gửi ngân hàng (VNĐ)</v>
      </c>
    </row>
    <row r="188" spans="1:14" ht="12.75">
      <c r="A188" s="76" t="str">
        <f t="shared" si="2"/>
        <v>29/10/2020</v>
      </c>
      <c r="B188" s="78"/>
      <c r="C188" s="78"/>
      <c r="D188" s="77" t="s">
        <v>586</v>
      </c>
      <c r="E188" s="78" t="s">
        <v>709</v>
      </c>
      <c r="F188" s="79" t="s">
        <v>1057</v>
      </c>
      <c r="G188" s="77"/>
      <c r="H188" s="77" t="s">
        <v>1201</v>
      </c>
      <c r="I188" s="81" t="s">
        <v>96</v>
      </c>
      <c r="J188" s="81" t="s">
        <v>421</v>
      </c>
      <c r="K188" s="82"/>
      <c r="L188" s="82">
        <v>300000</v>
      </c>
      <c r="M188" s="80" t="str">
        <f>VLOOKUP(I188,SDDK!$C$6:$D$200,2,0)</f>
        <v>Chi phí bằng tiền khác quản lý doanh nghiệp</v>
      </c>
      <c r="N188" s="80" t="str">
        <f>VLOOKUP(J188,SDDK!$C$6:$D$200,2,0)</f>
        <v>Nguyễn Minh Ngân</v>
      </c>
    </row>
    <row r="189" spans="1:14" ht="12.75">
      <c r="A189" s="76" t="str">
        <f t="shared" si="2"/>
        <v>30/10/2020</v>
      </c>
      <c r="B189" s="78"/>
      <c r="C189" s="77" t="s">
        <v>285</v>
      </c>
      <c r="D189" s="77"/>
      <c r="E189" s="78"/>
      <c r="F189" s="79" t="s">
        <v>1058</v>
      </c>
      <c r="G189" s="77" t="s">
        <v>649</v>
      </c>
      <c r="H189" s="77" t="s">
        <v>1202</v>
      </c>
      <c r="I189" s="81" t="s">
        <v>62</v>
      </c>
      <c r="J189" s="81" t="s">
        <v>432</v>
      </c>
      <c r="K189" s="82">
        <v>135</v>
      </c>
      <c r="L189" s="82">
        <f>K189*392500</f>
        <v>52987500</v>
      </c>
      <c r="M189" s="80" t="str">
        <f>VLOOKUP(I189,SDDK!$C$6:$D$200,2,0)</f>
        <v>Giá vốn hàng bán</v>
      </c>
      <c r="N189" s="80" t="str">
        <f>VLOOKUP(J189,SDDK!$C$6:$D$200,2,0)</f>
        <v>Vải thun coton</v>
      </c>
    </row>
    <row r="190" spans="1:14" ht="12.75">
      <c r="A190" s="76" t="str">
        <f t="shared" si="2"/>
        <v>30/10/2020</v>
      </c>
      <c r="B190" s="78"/>
      <c r="C190" s="77"/>
      <c r="D190" s="77" t="s">
        <v>587</v>
      </c>
      <c r="E190" s="78" t="s">
        <v>710</v>
      </c>
      <c r="F190" s="79" t="s">
        <v>1058</v>
      </c>
      <c r="G190" s="1" t="s">
        <v>1053</v>
      </c>
      <c r="H190" s="77" t="s">
        <v>1203</v>
      </c>
      <c r="I190" s="81" t="s">
        <v>396</v>
      </c>
      <c r="J190" s="81" t="s">
        <v>15</v>
      </c>
      <c r="K190" s="82">
        <v>135</v>
      </c>
      <c r="L190" s="82">
        <f>135*510000</f>
        <v>68850000</v>
      </c>
      <c r="M190" s="80" t="str">
        <f>VLOOKUP(I190,SDDK!$C$6:$D$200,2,0)</f>
        <v>Phải thu dài hạn Công ty TNHH Minh Long</v>
      </c>
      <c r="N190" s="80" t="str">
        <f>VLOOKUP(J190,SDDK!$C$6:$D$200,2,0)</f>
        <v>Doanh thu bán thành phẩm</v>
      </c>
    </row>
    <row r="191" spans="1:14" ht="12.75">
      <c r="A191" s="76" t="str">
        <f t="shared" si="2"/>
        <v>30/10/2020</v>
      </c>
      <c r="B191" s="78"/>
      <c r="C191" s="77"/>
      <c r="D191" s="77" t="s">
        <v>587</v>
      </c>
      <c r="E191" s="78" t="s">
        <v>710</v>
      </c>
      <c r="F191" s="79" t="s">
        <v>1058</v>
      </c>
      <c r="G191" s="1" t="s">
        <v>1053</v>
      </c>
      <c r="H191" s="77" t="s">
        <v>1102</v>
      </c>
      <c r="I191" s="81" t="s">
        <v>396</v>
      </c>
      <c r="J191" s="81" t="s">
        <v>155</v>
      </c>
      <c r="K191" s="82"/>
      <c r="L191" s="82">
        <f>L190*0.1</f>
        <v>6885000</v>
      </c>
      <c r="M191" s="80" t="str">
        <f>VLOOKUP(I191,SDDK!$C$6:$D$200,2,0)</f>
        <v>Phải thu dài hạn Công ty TNHH Minh Long</v>
      </c>
      <c r="N191" s="80" t="str">
        <f>VLOOKUP(J191,SDDK!$C$6:$D$200,2,0)</f>
        <v>Thuế GTGT đầu ra hoạt động kinh doanh</v>
      </c>
    </row>
    <row r="192" spans="1:14" ht="12.75">
      <c r="A192" s="76" t="str">
        <f t="shared" si="2"/>
        <v>30/10/2020</v>
      </c>
      <c r="B192" s="78"/>
      <c r="C192" s="78"/>
      <c r="D192" s="77" t="s">
        <v>588</v>
      </c>
      <c r="E192" s="77" t="s">
        <v>734</v>
      </c>
      <c r="F192" s="79" t="s">
        <v>1058</v>
      </c>
      <c r="G192" s="77" t="s">
        <v>187</v>
      </c>
      <c r="H192" s="77" t="s">
        <v>1197</v>
      </c>
      <c r="I192" s="81" t="s">
        <v>96</v>
      </c>
      <c r="J192" s="81" t="s">
        <v>421</v>
      </c>
      <c r="K192" s="82"/>
      <c r="L192" s="82">
        <v>450000</v>
      </c>
      <c r="M192" s="80" t="str">
        <f>VLOOKUP(I192,SDDK!$C$6:$D$200,2,0)</f>
        <v>Chi phí bằng tiền khác quản lý doanh nghiệp</v>
      </c>
      <c r="N192" s="80" t="str">
        <f>VLOOKUP(J192,SDDK!$C$6:$D$200,2,0)</f>
        <v>Nguyễn Minh Ngân</v>
      </c>
    </row>
    <row r="193" spans="1:14" ht="12.75">
      <c r="A193" s="76" t="str">
        <f t="shared" si="2"/>
        <v>30/10/2020</v>
      </c>
      <c r="B193" s="78"/>
      <c r="C193" s="77" t="s">
        <v>286</v>
      </c>
      <c r="D193" s="77"/>
      <c r="E193" s="78"/>
      <c r="F193" s="79" t="s">
        <v>1058</v>
      </c>
      <c r="G193" s="77" t="s">
        <v>649</v>
      </c>
      <c r="H193" s="77" t="s">
        <v>1204</v>
      </c>
      <c r="I193" s="81" t="s">
        <v>62</v>
      </c>
      <c r="J193" s="81" t="s">
        <v>432</v>
      </c>
      <c r="K193" s="82">
        <v>130</v>
      </c>
      <c r="L193" s="82">
        <f>K193*392500</f>
        <v>51025000</v>
      </c>
      <c r="M193" s="80" t="str">
        <f>VLOOKUP(I193,SDDK!$C$6:$D$200,2,0)</f>
        <v>Giá vốn hàng bán</v>
      </c>
      <c r="N193" s="80" t="str">
        <f>VLOOKUP(J193,SDDK!$C$6:$D$200,2,0)</f>
        <v>Vải thun coton</v>
      </c>
    </row>
    <row r="194" spans="1:14" ht="12.75">
      <c r="A194" s="76" t="str">
        <f t="shared" si="2"/>
        <v>30/10/2020</v>
      </c>
      <c r="B194" s="78"/>
      <c r="C194" s="77"/>
      <c r="D194" s="77" t="s">
        <v>589</v>
      </c>
      <c r="E194" s="78" t="s">
        <v>711</v>
      </c>
      <c r="F194" s="79" t="s">
        <v>1058</v>
      </c>
      <c r="G194" s="77" t="s">
        <v>1047</v>
      </c>
      <c r="H194" s="77" t="s">
        <v>1205</v>
      </c>
      <c r="I194" s="81" t="s">
        <v>401</v>
      </c>
      <c r="J194" s="81" t="s">
        <v>15</v>
      </c>
      <c r="K194" s="82">
        <v>130</v>
      </c>
      <c r="L194" s="82">
        <f>130*510000</f>
        <v>66300000</v>
      </c>
      <c r="M194" s="80" t="str">
        <f>VLOOKUP(I194,SDDK!$C$6:$D$200,2,0)</f>
        <v>Phải thu dài hạn Công ty CP Hoa Sen</v>
      </c>
      <c r="N194" s="80" t="str">
        <f>VLOOKUP(J194,SDDK!$C$6:$D$200,2,0)</f>
        <v>Doanh thu bán thành phẩm</v>
      </c>
    </row>
    <row r="195" spans="1:14" ht="12.75">
      <c r="A195" s="76" t="str">
        <f t="shared" si="2"/>
        <v>30/10/2020</v>
      </c>
      <c r="B195" s="78"/>
      <c r="C195" s="77"/>
      <c r="D195" s="77" t="s">
        <v>589</v>
      </c>
      <c r="E195" s="78" t="s">
        <v>711</v>
      </c>
      <c r="F195" s="79" t="s">
        <v>1058</v>
      </c>
      <c r="G195" s="77" t="s">
        <v>1047</v>
      </c>
      <c r="H195" s="77" t="s">
        <v>1102</v>
      </c>
      <c r="I195" s="81" t="s">
        <v>401</v>
      </c>
      <c r="J195" s="81" t="s">
        <v>155</v>
      </c>
      <c r="K195" s="82"/>
      <c r="L195" s="82">
        <f>L194*0.1</f>
        <v>6630000</v>
      </c>
      <c r="M195" s="80" t="str">
        <f>VLOOKUP(I195,SDDK!$C$6:$D$200,2,0)</f>
        <v>Phải thu dài hạn Công ty CP Hoa Sen</v>
      </c>
      <c r="N195" s="80" t="str">
        <f>VLOOKUP(J195,SDDK!$C$6:$D$200,2,0)</f>
        <v>Thuế GTGT đầu ra hoạt động kinh doanh</v>
      </c>
    </row>
    <row r="196" spans="1:14" ht="12.75">
      <c r="A196" s="76" t="str">
        <f t="shared" si="2"/>
        <v>30/10/2020</v>
      </c>
      <c r="B196" s="78"/>
      <c r="C196" s="78"/>
      <c r="D196" s="77" t="s">
        <v>590</v>
      </c>
      <c r="E196" s="78" t="s">
        <v>712</v>
      </c>
      <c r="F196" s="79" t="s">
        <v>1058</v>
      </c>
      <c r="G196" s="77"/>
      <c r="H196" s="77" t="s">
        <v>1206</v>
      </c>
      <c r="I196" s="81" t="s">
        <v>6</v>
      </c>
      <c r="J196" s="81" t="s">
        <v>507</v>
      </c>
      <c r="K196" s="82"/>
      <c r="L196" s="82">
        <v>35000000</v>
      </c>
      <c r="M196" s="80" t="str">
        <f>VLOOKUP(I196,SDDK!$C$6:$D$200,2,0)</f>
        <v>Nguồn vốn đầu tư xây dựng cơ bản</v>
      </c>
      <c r="N196" s="80" t="str">
        <f>VLOOKUP(J196,SDDK!$C$6:$D$200,2,0)</f>
        <v>Nguồn vốn kinh doanh</v>
      </c>
    </row>
    <row r="197" spans="1:14" ht="12.75">
      <c r="A197" s="76" t="str">
        <f t="shared" si="2"/>
        <v>30/10/2020</v>
      </c>
      <c r="B197" s="78"/>
      <c r="C197" s="78"/>
      <c r="D197" s="77" t="s">
        <v>591</v>
      </c>
      <c r="E197" s="78" t="s">
        <v>713</v>
      </c>
      <c r="F197" s="79" t="s">
        <v>1058</v>
      </c>
      <c r="G197" s="77"/>
      <c r="H197" s="77" t="s">
        <v>1207</v>
      </c>
      <c r="I197" s="81" t="s">
        <v>1</v>
      </c>
      <c r="J197" s="81" t="s">
        <v>507</v>
      </c>
      <c r="K197" s="82"/>
      <c r="L197" s="82">
        <v>40000000</v>
      </c>
      <c r="M197" s="80" t="str">
        <f>VLOOKUP(I197,SDDK!$C$6:$D$200,2,0)</f>
        <v>Quỹ đầu tư phát triển</v>
      </c>
      <c r="N197" s="80" t="str">
        <f>VLOOKUP(J197,SDDK!$C$6:$D$200,2,0)</f>
        <v>Nguồn vốn kinh doanh</v>
      </c>
    </row>
    <row r="198" spans="1:14" ht="12.75">
      <c r="A198" s="76" t="str">
        <f aca="true" t="shared" si="4" ref="A198:A261">F198</f>
        <v>30/10/2020</v>
      </c>
      <c r="B198" s="78"/>
      <c r="C198" s="77" t="s">
        <v>284</v>
      </c>
      <c r="D198" s="77" t="s">
        <v>592</v>
      </c>
      <c r="E198" s="78" t="s">
        <v>714</v>
      </c>
      <c r="F198" s="79" t="s">
        <v>1058</v>
      </c>
      <c r="G198" s="77" t="s">
        <v>802</v>
      </c>
      <c r="H198" s="77" t="s">
        <v>1208</v>
      </c>
      <c r="I198" s="83" t="s">
        <v>423</v>
      </c>
      <c r="J198" s="81" t="s">
        <v>476</v>
      </c>
      <c r="K198" s="82">
        <v>1000</v>
      </c>
      <c r="L198" s="82">
        <f>1000*19300</f>
        <v>19300000</v>
      </c>
      <c r="M198" s="80" t="str">
        <f>VLOOKUP(I198,SDDK!$C$6:$D$200,2,0)</f>
        <v>Sợi thun coton thô</v>
      </c>
      <c r="N198" s="80" t="str">
        <f>VLOOKUP(J198,SDDK!$C$6:$D$200,2,0)</f>
        <v>Phải trả dài hạn Công ty TNHH Tú Ngọc</v>
      </c>
    </row>
    <row r="199" spans="1:14" ht="12.75">
      <c r="A199" s="76" t="str">
        <f t="shared" si="4"/>
        <v>30/10/2020</v>
      </c>
      <c r="B199" s="77"/>
      <c r="C199" s="77"/>
      <c r="D199" s="77" t="s">
        <v>592</v>
      </c>
      <c r="E199" s="78" t="s">
        <v>714</v>
      </c>
      <c r="F199" s="79" t="s">
        <v>1058</v>
      </c>
      <c r="G199" s="77"/>
      <c r="H199" s="77" t="s">
        <v>1209</v>
      </c>
      <c r="I199" s="83" t="s">
        <v>423</v>
      </c>
      <c r="J199" s="81" t="s">
        <v>482</v>
      </c>
      <c r="K199" s="82"/>
      <c r="L199" s="82">
        <f>L198*0.05</f>
        <v>965000</v>
      </c>
      <c r="M199" s="80" t="str">
        <f>VLOOKUP(I199,SDDK!$C$6:$D$200,2,0)</f>
        <v>Sợi thun coton thô</v>
      </c>
      <c r="N199" s="80" t="str">
        <f>VLOOKUP(J199,SDDK!$C$6:$D$200,2,0)</f>
        <v>Thuế xuất nhập khẩu</v>
      </c>
    </row>
    <row r="200" spans="1:14" ht="12.75">
      <c r="A200" s="76" t="str">
        <f t="shared" si="4"/>
        <v>30/10/2020</v>
      </c>
      <c r="B200" s="77"/>
      <c r="C200" s="77"/>
      <c r="D200" s="77" t="s">
        <v>592</v>
      </c>
      <c r="E200" s="78" t="s">
        <v>714</v>
      </c>
      <c r="F200" s="79" t="s">
        <v>1058</v>
      </c>
      <c r="G200" s="77"/>
      <c r="H200" s="77" t="s">
        <v>1088</v>
      </c>
      <c r="I200" s="81" t="s">
        <v>402</v>
      </c>
      <c r="J200" s="81" t="s">
        <v>477</v>
      </c>
      <c r="K200" s="82"/>
      <c r="L200" s="82">
        <f>(L198+L199)*0.1</f>
        <v>2026500</v>
      </c>
      <c r="M200" s="80" t="str">
        <f>VLOOKUP(I200,SDDK!$C$6:$D$200,2,0)</f>
        <v>Thuế GTGT được khấu trừ của hàng hóa, dịch vụ</v>
      </c>
      <c r="N200" s="80" t="str">
        <f>VLOOKUP(J200,SDDK!$C$6:$D$200,2,0)</f>
        <v>Thuế GTGT hàng nhập khẩu</v>
      </c>
    </row>
    <row r="201" spans="1:14" ht="12.75">
      <c r="A201" s="76" t="str">
        <f t="shared" si="4"/>
        <v>30/10/2020</v>
      </c>
      <c r="B201" s="77"/>
      <c r="C201" s="78"/>
      <c r="D201" s="77" t="s">
        <v>593</v>
      </c>
      <c r="E201" s="77" t="s">
        <v>736</v>
      </c>
      <c r="F201" s="79" t="s">
        <v>1058</v>
      </c>
      <c r="G201" s="77" t="s">
        <v>799</v>
      </c>
      <c r="H201" s="77" t="s">
        <v>1210</v>
      </c>
      <c r="I201" s="81" t="s">
        <v>465</v>
      </c>
      <c r="J201" s="81" t="s">
        <v>374</v>
      </c>
      <c r="K201" s="82"/>
      <c r="L201" s="82">
        <v>40000000</v>
      </c>
      <c r="M201" s="80" t="str">
        <f>VLOOKUP(I201,SDDK!$C$6:$D$200,2,0)</f>
        <v>Phải trả ngắn hạn Công ty TNHH Sen Hồng</v>
      </c>
      <c r="N201" s="80" t="str">
        <f>VLOOKUP(J201,SDDK!$C$6:$D$200,2,0)</f>
        <v>Tiền gửi ngân hàng (VNĐ)</v>
      </c>
    </row>
    <row r="202" spans="1:14" ht="12.75">
      <c r="A202" s="76" t="str">
        <f t="shared" si="4"/>
        <v>30/10/2020</v>
      </c>
      <c r="B202" s="77"/>
      <c r="C202" s="78"/>
      <c r="D202" s="77" t="s">
        <v>594</v>
      </c>
      <c r="E202" s="77" t="s">
        <v>737</v>
      </c>
      <c r="F202" s="79" t="s">
        <v>1058</v>
      </c>
      <c r="G202" s="77" t="s">
        <v>811</v>
      </c>
      <c r="H202" s="77" t="s">
        <v>1211</v>
      </c>
      <c r="I202" s="81" t="s">
        <v>464</v>
      </c>
      <c r="J202" s="81" t="s">
        <v>374</v>
      </c>
      <c r="K202" s="82"/>
      <c r="L202" s="82">
        <v>9700000</v>
      </c>
      <c r="M202" s="80" t="str">
        <f>VLOOKUP(I202,SDDK!$C$6:$D$200,2,0)</f>
        <v>Phải trả ngắn hạn Công ty TNHH Quang Ngọc</v>
      </c>
      <c r="N202" s="80" t="str">
        <f>VLOOKUP(J202,SDDK!$C$6:$D$200,2,0)</f>
        <v>Tiền gửi ngân hàng (VNĐ)</v>
      </c>
    </row>
    <row r="203" spans="1:14" ht="12.75">
      <c r="A203" s="76" t="str">
        <f t="shared" si="4"/>
        <v>30/10/2020</v>
      </c>
      <c r="B203" s="77"/>
      <c r="C203" s="78"/>
      <c r="D203" s="77" t="s">
        <v>595</v>
      </c>
      <c r="E203" s="77" t="s">
        <v>738</v>
      </c>
      <c r="F203" s="79" t="s">
        <v>1058</v>
      </c>
      <c r="G203" s="77" t="s">
        <v>1059</v>
      </c>
      <c r="H203" s="77" t="s">
        <v>1212</v>
      </c>
      <c r="I203" s="81" t="s">
        <v>94</v>
      </c>
      <c r="J203" s="81" t="s">
        <v>374</v>
      </c>
      <c r="K203" s="82"/>
      <c r="L203" s="82">
        <v>3700000</v>
      </c>
      <c r="M203" s="80" t="str">
        <f>VLOOKUP(I203,SDDK!$C$6:$D$200,2,0)</f>
        <v>Chi phí dịch vụ quản lý doanh nghiệp</v>
      </c>
      <c r="N203" s="80" t="str">
        <f>VLOOKUP(J203,SDDK!$C$6:$D$200,2,0)</f>
        <v>Tiền gửi ngân hàng (VNĐ)</v>
      </c>
    </row>
    <row r="204" spans="1:14" ht="12.75">
      <c r="A204" s="76" t="str">
        <f t="shared" si="4"/>
        <v>30/10/2020</v>
      </c>
      <c r="B204" s="77"/>
      <c r="C204" s="78"/>
      <c r="D204" s="77" t="s">
        <v>595</v>
      </c>
      <c r="E204" s="77" t="s">
        <v>738</v>
      </c>
      <c r="F204" s="79" t="s">
        <v>1058</v>
      </c>
      <c r="G204" s="77" t="s">
        <v>1059</v>
      </c>
      <c r="H204" s="77" t="s">
        <v>1154</v>
      </c>
      <c r="I204" s="81" t="s">
        <v>402</v>
      </c>
      <c r="J204" s="81" t="s">
        <v>374</v>
      </c>
      <c r="K204" s="82"/>
      <c r="L204" s="82">
        <f>L203*0.1</f>
        <v>370000</v>
      </c>
      <c r="M204" s="80" t="str">
        <f>VLOOKUP(I204,SDDK!$C$6:$D$200,2,0)</f>
        <v>Thuế GTGT được khấu trừ của hàng hóa, dịch vụ</v>
      </c>
      <c r="N204" s="80" t="str">
        <f>VLOOKUP(J204,SDDK!$C$6:$D$200,2,0)</f>
        <v>Tiền gửi ngân hàng (VNĐ)</v>
      </c>
    </row>
    <row r="205" spans="1:14" ht="12.75">
      <c r="A205" s="76" t="str">
        <f t="shared" si="4"/>
        <v>30/10/2020</v>
      </c>
      <c r="B205" s="77"/>
      <c r="C205" s="78"/>
      <c r="D205" s="77" t="s">
        <v>596</v>
      </c>
      <c r="E205" s="77" t="s">
        <v>739</v>
      </c>
      <c r="F205" s="79" t="s">
        <v>1058</v>
      </c>
      <c r="G205" s="77" t="s">
        <v>187</v>
      </c>
      <c r="H205" s="77" t="s">
        <v>1213</v>
      </c>
      <c r="I205" s="81" t="s">
        <v>777</v>
      </c>
      <c r="J205" s="81" t="s">
        <v>374</v>
      </c>
      <c r="K205" s="82"/>
      <c r="L205" s="82">
        <v>150000000</v>
      </c>
      <c r="M205" s="80" t="str">
        <f>VLOOKUP(I205,SDDK!$C$6:$D$200,2,0)</f>
        <v>Các khoản đi vay ngắn hạn.</v>
      </c>
      <c r="N205" s="80" t="str">
        <f>VLOOKUP(J205,SDDK!$C$6:$D$200,2,0)</f>
        <v>Tiền gửi ngân hàng (VNĐ)</v>
      </c>
    </row>
    <row r="206" spans="1:14" ht="12.75">
      <c r="A206" s="76" t="str">
        <f t="shared" si="4"/>
        <v>30/10/2020</v>
      </c>
      <c r="B206" s="77"/>
      <c r="C206" s="78"/>
      <c r="D206" s="77" t="s">
        <v>596</v>
      </c>
      <c r="E206" s="77" t="s">
        <v>739</v>
      </c>
      <c r="F206" s="79" t="s">
        <v>1058</v>
      </c>
      <c r="G206" s="77" t="s">
        <v>187</v>
      </c>
      <c r="H206" s="77" t="s">
        <v>1214</v>
      </c>
      <c r="I206" s="81" t="s">
        <v>64</v>
      </c>
      <c r="J206" s="81" t="s">
        <v>374</v>
      </c>
      <c r="K206" s="82"/>
      <c r="L206" s="82">
        <v>1400000</v>
      </c>
      <c r="M206" s="80" t="str">
        <f>VLOOKUP(I206,SDDK!$C$6:$D$200,2,0)</f>
        <v>Chi phí hoạt động tài chính (lãi vay)</v>
      </c>
      <c r="N206" s="80" t="str">
        <f>VLOOKUP(J206,SDDK!$C$6:$D$200,2,0)</f>
        <v>Tiền gửi ngân hàng (VNĐ)</v>
      </c>
    </row>
    <row r="207" spans="1:14" ht="12.75">
      <c r="A207" s="76" t="str">
        <f t="shared" si="4"/>
        <v>30/10/2020</v>
      </c>
      <c r="B207" s="77"/>
      <c r="C207" s="78"/>
      <c r="D207" s="77" t="s">
        <v>597</v>
      </c>
      <c r="E207" s="77" t="s">
        <v>740</v>
      </c>
      <c r="F207" s="79" t="s">
        <v>1058</v>
      </c>
      <c r="G207" s="77"/>
      <c r="H207" s="77" t="s">
        <v>1215</v>
      </c>
      <c r="I207" s="81" t="s">
        <v>374</v>
      </c>
      <c r="J207" s="81" t="s">
        <v>22</v>
      </c>
      <c r="K207" s="82"/>
      <c r="L207" s="82">
        <v>750000</v>
      </c>
      <c r="M207" s="80" t="str">
        <f>VLOOKUP(I207,SDDK!$C$6:$D$200,2,0)</f>
        <v>Tiền gửi ngân hàng (VNĐ)</v>
      </c>
      <c r="N207" s="80" t="str">
        <f>VLOOKUP(J207,SDDK!$C$6:$D$200,2,0)</f>
        <v>Doanh thu tài chính phải nộp thuế TN (Lãi TG ngân hàng)</v>
      </c>
    </row>
    <row r="208" spans="1:14" ht="12.75">
      <c r="A208" s="76" t="str">
        <f t="shared" si="4"/>
        <v>30/10/2020</v>
      </c>
      <c r="B208" s="77"/>
      <c r="C208" s="78"/>
      <c r="D208" s="77" t="s">
        <v>598</v>
      </c>
      <c r="E208" s="77" t="s">
        <v>741</v>
      </c>
      <c r="F208" s="79" t="s">
        <v>1058</v>
      </c>
      <c r="G208" s="77" t="s">
        <v>120</v>
      </c>
      <c r="H208" s="77" t="s">
        <v>1143</v>
      </c>
      <c r="I208" s="81" t="s">
        <v>374</v>
      </c>
      <c r="J208" s="81" t="s">
        <v>391</v>
      </c>
      <c r="K208" s="82"/>
      <c r="L208" s="82">
        <v>30000000</v>
      </c>
      <c r="M208" s="80" t="str">
        <f>VLOOKUP(I208,SDDK!$C$6:$D$200,2,0)</f>
        <v>Tiền gửi ngân hàng (VNĐ)</v>
      </c>
      <c r="N208" s="80" t="str">
        <f>VLOOKUP(J208,SDDK!$C$6:$D$200,2,0)</f>
        <v>Phải thu ngắn hạn Công ty GEMARTRANS </v>
      </c>
    </row>
    <row r="209" spans="1:14" ht="12.75">
      <c r="A209" s="76" t="str">
        <f t="shared" si="4"/>
        <v>30/10/2020</v>
      </c>
      <c r="B209" s="77"/>
      <c r="C209" s="78"/>
      <c r="D209" s="77" t="s">
        <v>599</v>
      </c>
      <c r="E209" s="77" t="s">
        <v>742</v>
      </c>
      <c r="F209" s="79" t="s">
        <v>1058</v>
      </c>
      <c r="G209" s="77" t="s">
        <v>1047</v>
      </c>
      <c r="H209" s="77" t="s">
        <v>1216</v>
      </c>
      <c r="I209" s="81" t="s">
        <v>374</v>
      </c>
      <c r="J209" s="81" t="s">
        <v>394</v>
      </c>
      <c r="K209" s="82"/>
      <c r="L209" s="82">
        <v>300000</v>
      </c>
      <c r="M209" s="80" t="str">
        <f>VLOOKUP(I209,SDDK!$C$6:$D$200,2,0)</f>
        <v>Tiền gửi ngân hàng (VNĐ)</v>
      </c>
      <c r="N209" s="80" t="str">
        <f>VLOOKUP(J209,SDDK!$C$6:$D$200,2,0)</f>
        <v>Phải thu ngắn hạn Công ty CP Hoa Sen</v>
      </c>
    </row>
    <row r="210" spans="1:14" ht="12.75">
      <c r="A210" s="76" t="str">
        <f t="shared" si="4"/>
        <v>30/10/2020</v>
      </c>
      <c r="B210" s="77"/>
      <c r="C210" s="78"/>
      <c r="D210" s="77" t="s">
        <v>600</v>
      </c>
      <c r="E210" s="77" t="s">
        <v>743</v>
      </c>
      <c r="F210" s="79" t="s">
        <v>1058</v>
      </c>
      <c r="G210" s="77"/>
      <c r="H210" s="77" t="s">
        <v>1217</v>
      </c>
      <c r="I210" s="81" t="s">
        <v>374</v>
      </c>
      <c r="J210" s="81" t="s">
        <v>23</v>
      </c>
      <c r="K210" s="82"/>
      <c r="L210" s="82">
        <v>600000</v>
      </c>
      <c r="M210" s="80" t="str">
        <f>VLOOKUP(I210,SDDK!$C$6:$D$200,2,0)</f>
        <v>Tiền gửi ngân hàng (VNĐ)</v>
      </c>
      <c r="N210" s="80" t="str">
        <f>VLOOKUP(J210,SDDK!$C$6:$D$200,2,0)</f>
        <v>Doanh thu tài chính không phải nộp thuế TN (lãi liên doanh)</v>
      </c>
    </row>
    <row r="211" spans="1:14" ht="12.75">
      <c r="A211" s="76" t="str">
        <f t="shared" si="4"/>
        <v>30/10/2020</v>
      </c>
      <c r="B211" s="77"/>
      <c r="C211" s="78"/>
      <c r="D211" s="77" t="s">
        <v>601</v>
      </c>
      <c r="E211" s="77" t="s">
        <v>744</v>
      </c>
      <c r="F211" s="79" t="s">
        <v>1058</v>
      </c>
      <c r="G211" s="77" t="s">
        <v>197</v>
      </c>
      <c r="H211" s="77" t="s">
        <v>1218</v>
      </c>
      <c r="I211" s="81" t="s">
        <v>457</v>
      </c>
      <c r="J211" s="81" t="s">
        <v>374</v>
      </c>
      <c r="K211" s="82"/>
      <c r="L211" s="82">
        <v>25000000</v>
      </c>
      <c r="M211" s="80" t="str">
        <f>VLOOKUP(I211,SDDK!$C$6:$D$200,2,0)</f>
        <v>Phải trả ngắn hạn Công ty LOGITIC</v>
      </c>
      <c r="N211" s="80" t="str">
        <f>VLOOKUP(J211,SDDK!$C$6:$D$200,2,0)</f>
        <v>Tiền gửi ngân hàng (VNĐ)</v>
      </c>
    </row>
    <row r="212" spans="1:14" ht="12.75">
      <c r="A212" s="76" t="str">
        <f t="shared" si="4"/>
        <v>30/10/2020</v>
      </c>
      <c r="B212" s="77"/>
      <c r="C212" s="78"/>
      <c r="D212" s="77" t="s">
        <v>602</v>
      </c>
      <c r="E212" s="77" t="s">
        <v>745</v>
      </c>
      <c r="F212" s="79" t="s">
        <v>1058</v>
      </c>
      <c r="G212" s="77"/>
      <c r="H212" s="77" t="s">
        <v>1219</v>
      </c>
      <c r="I212" s="81" t="s">
        <v>415</v>
      </c>
      <c r="J212" s="81" t="s">
        <v>406</v>
      </c>
      <c r="K212" s="82"/>
      <c r="L212" s="82">
        <v>140000</v>
      </c>
      <c r="M212" s="80" t="str">
        <f>VLOOKUP(I212,SDDK!$C$6:$D$200,2,0)</f>
        <v>Các khoản phải thu khác (Thuế GTGT được hoàn lại)</v>
      </c>
      <c r="N212" s="80" t="str">
        <f>VLOOKUP(J212,SDDK!$C$6:$D$200,2,0)</f>
        <v>Thuế GTGT đã đề nghị hoàn</v>
      </c>
    </row>
    <row r="213" spans="1:14" ht="12.75">
      <c r="A213" s="76" t="str">
        <f t="shared" si="4"/>
        <v>30/10/2020</v>
      </c>
      <c r="B213" s="77"/>
      <c r="C213" s="78"/>
      <c r="D213" s="77" t="s">
        <v>602</v>
      </c>
      <c r="E213" s="77" t="s">
        <v>745</v>
      </c>
      <c r="F213" s="79" t="s">
        <v>1058</v>
      </c>
      <c r="G213" s="77"/>
      <c r="H213" s="77" t="s">
        <v>1220</v>
      </c>
      <c r="I213" s="81" t="s">
        <v>62</v>
      </c>
      <c r="J213" s="81" t="s">
        <v>406</v>
      </c>
      <c r="K213" s="82"/>
      <c r="L213" s="82">
        <v>10000</v>
      </c>
      <c r="M213" s="80" t="str">
        <f>VLOOKUP(I213,SDDK!$C$6:$D$200,2,0)</f>
        <v>Giá vốn hàng bán</v>
      </c>
      <c r="N213" s="80" t="str">
        <f>VLOOKUP(J213,SDDK!$C$6:$D$200,2,0)</f>
        <v>Thuế GTGT đã đề nghị hoàn</v>
      </c>
    </row>
    <row r="214" spans="1:14" ht="12.75">
      <c r="A214" s="76" t="str">
        <f t="shared" si="4"/>
        <v>30/10/2020</v>
      </c>
      <c r="B214" s="77"/>
      <c r="C214" s="78"/>
      <c r="D214" s="77" t="s">
        <v>603</v>
      </c>
      <c r="E214" s="77" t="s">
        <v>746</v>
      </c>
      <c r="F214" s="79" t="s">
        <v>1058</v>
      </c>
      <c r="G214" s="77"/>
      <c r="H214" s="77" t="s">
        <v>1221</v>
      </c>
      <c r="I214" s="81" t="s">
        <v>776</v>
      </c>
      <c r="J214" s="81" t="s">
        <v>777</v>
      </c>
      <c r="K214" s="82"/>
      <c r="L214" s="82">
        <v>30000000</v>
      </c>
      <c r="M214" s="80" t="str">
        <f>VLOOKUP(I214,SDDK!$C$6:$D$200,2,0)</f>
        <v>Các khoản đi vay dài hạn.</v>
      </c>
      <c r="N214" s="80" t="str">
        <f>VLOOKUP(J214,SDDK!$C$6:$D$200,2,0)</f>
        <v>Các khoản đi vay ngắn hạn.</v>
      </c>
    </row>
    <row r="215" spans="1:14" ht="12.75">
      <c r="A215" s="76" t="str">
        <f t="shared" si="4"/>
        <v>30/10/2020</v>
      </c>
      <c r="B215" s="77"/>
      <c r="C215" s="78"/>
      <c r="D215" s="77" t="s">
        <v>604</v>
      </c>
      <c r="E215" s="77" t="s">
        <v>751</v>
      </c>
      <c r="F215" s="79" t="s">
        <v>1058</v>
      </c>
      <c r="G215" s="77"/>
      <c r="H215" s="77" t="s">
        <v>1222</v>
      </c>
      <c r="I215" s="81" t="s">
        <v>92</v>
      </c>
      <c r="J215" s="81" t="s">
        <v>771</v>
      </c>
      <c r="K215" s="82"/>
      <c r="L215" s="82">
        <v>5500000</v>
      </c>
      <c r="M215" s="80" t="str">
        <f>VLOOKUP(I215,SDDK!$C$6:$D$200,2,0)</f>
        <v>Chi phí dự phòng</v>
      </c>
      <c r="N215" s="80" t="str">
        <f>VLOOKUP(J215,SDDK!$C$6:$D$200,2,0)</f>
        <v>Dự phòng các khoản phải thu ngắn hạn khó đòi (*)</v>
      </c>
    </row>
    <row r="216" spans="1:14" ht="12.75">
      <c r="A216" s="76" t="str">
        <f t="shared" si="4"/>
        <v>30/10/2020</v>
      </c>
      <c r="B216" s="77"/>
      <c r="C216" s="77"/>
      <c r="D216" s="77" t="s">
        <v>605</v>
      </c>
      <c r="E216" s="77" t="s">
        <v>750</v>
      </c>
      <c r="F216" s="79" t="s">
        <v>1058</v>
      </c>
      <c r="G216" s="77"/>
      <c r="H216" s="77" t="s">
        <v>1223</v>
      </c>
      <c r="I216" s="81" t="s">
        <v>62</v>
      </c>
      <c r="J216" s="81" t="s">
        <v>766</v>
      </c>
      <c r="K216" s="82"/>
      <c r="L216" s="82">
        <v>16260000</v>
      </c>
      <c r="M216" s="80" t="str">
        <f>VLOOKUP(I216,SDDK!$C$6:$D$200,2,0)</f>
        <v>Giá vốn hàng bán</v>
      </c>
      <c r="N216" s="80" t="str">
        <f>VLOOKUP(J216,SDDK!$C$6:$D$200,2,0)</f>
        <v>Dự phòng giảm giá hàng tồn kho (*)</v>
      </c>
    </row>
    <row r="217" spans="1:14" ht="12.75">
      <c r="A217" s="76" t="str">
        <f t="shared" si="4"/>
        <v>30/10/2020</v>
      </c>
      <c r="B217" s="77"/>
      <c r="C217" s="78"/>
      <c r="D217" s="77" t="s">
        <v>606</v>
      </c>
      <c r="E217" s="77" t="s">
        <v>752</v>
      </c>
      <c r="F217" s="79" t="s">
        <v>1058</v>
      </c>
      <c r="G217" s="77"/>
      <c r="H217" s="77" t="s">
        <v>1224</v>
      </c>
      <c r="I217" s="81" t="s">
        <v>66</v>
      </c>
      <c r="J217" s="81" t="s">
        <v>767</v>
      </c>
      <c r="K217" s="82"/>
      <c r="L217" s="82">
        <v>5000000</v>
      </c>
      <c r="M217" s="80" t="str">
        <f>VLOOKUP(I217,SDDK!$C$6:$D$200,2,0)</f>
        <v>Chi phí hoạt động tài chính (chi khác)</v>
      </c>
      <c r="N217" s="80" t="str">
        <f>VLOOKUP(J217,SDDK!$C$6:$D$200,2,0)</f>
        <v>Dự phòng giảm giá chứng khoán kinh doanh ngắn hạn (*)</v>
      </c>
    </row>
    <row r="218" spans="1:14" ht="12.75">
      <c r="A218" s="76" t="str">
        <f t="shared" si="4"/>
        <v>30/10/2020</v>
      </c>
      <c r="B218" s="77"/>
      <c r="C218" s="78"/>
      <c r="D218" s="77" t="s">
        <v>607</v>
      </c>
      <c r="E218" s="78" t="s">
        <v>753</v>
      </c>
      <c r="F218" s="79" t="s">
        <v>1058</v>
      </c>
      <c r="G218" s="77" t="s">
        <v>119</v>
      </c>
      <c r="H218" s="77" t="s">
        <v>1225</v>
      </c>
      <c r="I218" s="81" t="s">
        <v>785</v>
      </c>
      <c r="J218" s="81" t="s">
        <v>397</v>
      </c>
      <c r="K218" s="82"/>
      <c r="L218" s="82">
        <f>5%*L121</f>
        <v>5655000</v>
      </c>
      <c r="M218" s="80" t="str">
        <f>VLOOKUP(I218,SDDK!$C$6:$D$200,2,0)</f>
        <v>Giảm giá hàng bán</v>
      </c>
      <c r="N218" s="80" t="str">
        <f>VLOOKUP(J218,SDDK!$C$6:$D$200,2,0)</f>
        <v>Phải thu dài hạn Xí Nghiệp LIDOVIT</v>
      </c>
    </row>
    <row r="219" spans="1:14" ht="12.75">
      <c r="A219" s="76" t="str">
        <f t="shared" si="4"/>
        <v>30/10/2020</v>
      </c>
      <c r="B219" s="77"/>
      <c r="C219" s="78"/>
      <c r="D219" s="77" t="s">
        <v>607</v>
      </c>
      <c r="E219" s="78" t="s">
        <v>753</v>
      </c>
      <c r="F219" s="79" t="s">
        <v>1058</v>
      </c>
      <c r="G219" s="77" t="s">
        <v>119</v>
      </c>
      <c r="H219" s="77" t="s">
        <v>1226</v>
      </c>
      <c r="I219" s="81" t="s">
        <v>479</v>
      </c>
      <c r="J219" s="81" t="s">
        <v>397</v>
      </c>
      <c r="K219" s="82"/>
      <c r="L219" s="82">
        <f>L218*5%</f>
        <v>282750</v>
      </c>
      <c r="M219" s="80" t="str">
        <f>VLOOKUP(I219,SDDK!$C$6:$D$200,2,0)</f>
        <v>Thuế GTGT hàng bán bị trả lại, giảm giá, chiết khấu</v>
      </c>
      <c r="N219" s="80" t="str">
        <f>VLOOKUP(J219,SDDK!$C$6:$D$200,2,0)</f>
        <v>Phải thu dài hạn Xí Nghiệp LIDOVIT</v>
      </c>
    </row>
    <row r="220" spans="1:14" ht="12.75">
      <c r="A220" s="76" t="str">
        <f t="shared" si="4"/>
        <v>30/10/2020</v>
      </c>
      <c r="B220" s="77"/>
      <c r="C220" s="78"/>
      <c r="D220" s="77" t="s">
        <v>608</v>
      </c>
      <c r="E220" s="77" t="s">
        <v>754</v>
      </c>
      <c r="F220" s="79" t="s">
        <v>1058</v>
      </c>
      <c r="G220" s="77"/>
      <c r="H220" s="77" t="s">
        <v>1227</v>
      </c>
      <c r="I220" s="81" t="s">
        <v>90</v>
      </c>
      <c r="J220" s="81" t="s">
        <v>491</v>
      </c>
      <c r="K220" s="82"/>
      <c r="L220" s="82">
        <v>1500000</v>
      </c>
      <c r="M220" s="80" t="str">
        <f>VLOOKUP(I220,SDDK!$C$6:$D$200,2,0)</f>
        <v>Thuế, phí và lệ phí quản lý doanh nghiệp</v>
      </c>
      <c r="N220" s="80" t="str">
        <f>VLOOKUP(J220,SDDK!$C$6:$D$200,2,0)</f>
        <v>Các loại thuế khác</v>
      </c>
    </row>
    <row r="221" spans="1:14" ht="12.75">
      <c r="A221" s="76" t="str">
        <f t="shared" si="4"/>
        <v>30/10/2020</v>
      </c>
      <c r="B221" s="77"/>
      <c r="C221" s="78"/>
      <c r="D221" s="77" t="s">
        <v>609</v>
      </c>
      <c r="E221" s="77" t="s">
        <v>716</v>
      </c>
      <c r="F221" s="79" t="s">
        <v>1058</v>
      </c>
      <c r="G221" s="77"/>
      <c r="H221" s="77" t="s">
        <v>1228</v>
      </c>
      <c r="I221" s="81" t="s">
        <v>402</v>
      </c>
      <c r="J221" s="81" t="s">
        <v>477</v>
      </c>
      <c r="K221" s="82"/>
      <c r="L221" s="82">
        <v>1000000</v>
      </c>
      <c r="M221" s="80" t="str">
        <f>VLOOKUP(I221,SDDK!$C$6:$D$200,2,0)</f>
        <v>Thuế GTGT được khấu trừ của hàng hóa, dịch vụ</v>
      </c>
      <c r="N221" s="80" t="str">
        <f>VLOOKUP(J221,SDDK!$C$6:$D$200,2,0)</f>
        <v>Thuế GTGT hàng nhập khẩu</v>
      </c>
    </row>
    <row r="222" spans="1:14" ht="12.75">
      <c r="A222" s="76" t="str">
        <f t="shared" si="4"/>
        <v>30/10/2020</v>
      </c>
      <c r="B222" s="77" t="s">
        <v>288</v>
      </c>
      <c r="C222" s="78"/>
      <c r="D222" s="78"/>
      <c r="E222" s="78"/>
      <c r="F222" s="79" t="s">
        <v>1058</v>
      </c>
      <c r="G222" s="77" t="s">
        <v>187</v>
      </c>
      <c r="H222" s="77" t="s">
        <v>1229</v>
      </c>
      <c r="I222" s="81" t="s">
        <v>477</v>
      </c>
      <c r="J222" s="81" t="s">
        <v>371</v>
      </c>
      <c r="K222" s="82"/>
      <c r="L222" s="82">
        <v>1000000</v>
      </c>
      <c r="M222" s="80" t="str">
        <f>VLOOKUP(I222,SDDK!$C$6:$D$200,2,0)</f>
        <v>Thuế GTGT hàng nhập khẩu</v>
      </c>
      <c r="N222" s="80" t="str">
        <f>VLOOKUP(J222,SDDK!$C$6:$D$200,2,0)</f>
        <v>Tiền mặt tại quỹ, ngân phiếu (VNĐ)</v>
      </c>
    </row>
    <row r="223" spans="1:14" ht="12.75">
      <c r="A223" s="76" t="str">
        <f t="shared" si="4"/>
        <v>30/10/2020</v>
      </c>
      <c r="B223" s="77"/>
      <c r="C223" s="77" t="s">
        <v>287</v>
      </c>
      <c r="D223" s="77" t="s">
        <v>610</v>
      </c>
      <c r="E223" s="78" t="s">
        <v>715</v>
      </c>
      <c r="F223" s="79" t="s">
        <v>1058</v>
      </c>
      <c r="G223" s="77" t="s">
        <v>802</v>
      </c>
      <c r="H223" s="77" t="s">
        <v>1120</v>
      </c>
      <c r="I223" s="81" t="s">
        <v>424</v>
      </c>
      <c r="J223" s="81" t="s">
        <v>462</v>
      </c>
      <c r="K223" s="82">
        <v>80000</v>
      </c>
      <c r="L223" s="82">
        <f>80000*12000</f>
        <v>960000000</v>
      </c>
      <c r="M223" s="80" t="str">
        <f>VLOOKUP(I223,SDDK!$C$6:$D$200,2,0)</f>
        <v>Thuốc nhuộm màu xanh đen C02</v>
      </c>
      <c r="N223" s="80" t="str">
        <f>VLOOKUP(J223,SDDK!$C$6:$D$200,2,0)</f>
        <v>Phải trả ngắn hạn Công ty TNHH Tú Ngọc</v>
      </c>
    </row>
    <row r="224" spans="1:14" ht="12.75">
      <c r="A224" s="76" t="str">
        <f t="shared" si="4"/>
        <v>30/10/2020</v>
      </c>
      <c r="B224" s="77"/>
      <c r="C224" s="77" t="s">
        <v>287</v>
      </c>
      <c r="D224" s="77" t="s">
        <v>611</v>
      </c>
      <c r="E224" s="78" t="s">
        <v>715</v>
      </c>
      <c r="F224" s="79" t="s">
        <v>1058</v>
      </c>
      <c r="G224" s="77" t="s">
        <v>802</v>
      </c>
      <c r="H224" s="77" t="s">
        <v>1120</v>
      </c>
      <c r="I224" s="81" t="s">
        <v>425</v>
      </c>
      <c r="J224" s="81" t="s">
        <v>462</v>
      </c>
      <c r="K224" s="82">
        <v>120000</v>
      </c>
      <c r="L224" s="82">
        <f>K224*8000</f>
        <v>960000000</v>
      </c>
      <c r="M224" s="80" t="str">
        <f>VLOOKUP(I224,SDDK!$C$6:$D$200,2,0)</f>
        <v>Thuốc nhuộm màu vàng B02</v>
      </c>
      <c r="N224" s="80" t="str">
        <f>VLOOKUP(J224,SDDK!$C$6:$D$200,2,0)</f>
        <v>Phải trả ngắn hạn Công ty TNHH Tú Ngọc</v>
      </c>
    </row>
    <row r="225" spans="1:14" ht="12.75">
      <c r="A225" s="76" t="str">
        <f t="shared" si="4"/>
        <v>30/10/2020</v>
      </c>
      <c r="B225" s="77"/>
      <c r="C225" s="77"/>
      <c r="D225" s="77" t="s">
        <v>611</v>
      </c>
      <c r="E225" s="78" t="s">
        <v>715</v>
      </c>
      <c r="F225" s="79" t="s">
        <v>1058</v>
      </c>
      <c r="G225" s="77" t="s">
        <v>802</v>
      </c>
      <c r="H225" s="77" t="s">
        <v>1154</v>
      </c>
      <c r="I225" s="83" t="s">
        <v>402</v>
      </c>
      <c r="J225" s="81" t="s">
        <v>462</v>
      </c>
      <c r="K225" s="82"/>
      <c r="L225" s="82">
        <f>SUM(L223:L224)*0.1</f>
        <v>192000000</v>
      </c>
      <c r="M225" s="80" t="str">
        <f>VLOOKUP(I225,SDDK!$C$6:$D$200,2,0)</f>
        <v>Thuế GTGT được khấu trừ của hàng hóa, dịch vụ</v>
      </c>
      <c r="N225" s="80" t="str">
        <f>VLOOKUP(J225,SDDK!$C$6:$D$200,2,0)</f>
        <v>Phải trả ngắn hạn Công ty TNHH Tú Ngọc</v>
      </c>
    </row>
    <row r="226" spans="1:14" ht="12.75">
      <c r="A226" s="76" t="str">
        <f t="shared" si="4"/>
        <v>30/10/2020</v>
      </c>
      <c r="B226" s="77"/>
      <c r="C226" s="77" t="s">
        <v>289</v>
      </c>
      <c r="D226" s="77" t="s">
        <v>612</v>
      </c>
      <c r="E226" s="77"/>
      <c r="F226" s="79" t="s">
        <v>1058</v>
      </c>
      <c r="G226" s="77" t="s">
        <v>649</v>
      </c>
      <c r="H226" s="77" t="s">
        <v>1230</v>
      </c>
      <c r="I226" s="81" t="s">
        <v>428</v>
      </c>
      <c r="J226" s="81" t="s">
        <v>429</v>
      </c>
      <c r="K226" s="82">
        <v>833</v>
      </c>
      <c r="L226" s="82">
        <v>1500000</v>
      </c>
      <c r="M226" s="80" t="str">
        <f>VLOOKUP(I226,SDDK!$C$6:$D$200,2,0)</f>
        <v>Vải phế liệu</v>
      </c>
      <c r="N226" s="80" t="str">
        <f>VLOOKUP(J226,SDDK!$C$6:$D$200,2,0)</f>
        <v>Chi phí SXKD dở dang Vải thun coton (giá kế hoạch 4600)</v>
      </c>
    </row>
    <row r="227" spans="1:14" ht="12.75">
      <c r="A227" s="76" t="str">
        <f t="shared" si="4"/>
        <v>30/10/2020</v>
      </c>
      <c r="B227" s="77"/>
      <c r="C227" s="77" t="s">
        <v>290</v>
      </c>
      <c r="D227" s="77" t="s">
        <v>612</v>
      </c>
      <c r="E227" s="77"/>
      <c r="F227" s="79" t="s">
        <v>1058</v>
      </c>
      <c r="G227" s="77" t="s">
        <v>649</v>
      </c>
      <c r="H227" s="77" t="s">
        <v>1231</v>
      </c>
      <c r="I227" s="81" t="s">
        <v>428</v>
      </c>
      <c r="J227" s="81" t="s">
        <v>430</v>
      </c>
      <c r="K227" s="82">
        <v>668</v>
      </c>
      <c r="L227" s="82">
        <v>1200000</v>
      </c>
      <c r="M227" s="80" t="str">
        <f>VLOOKUP(I227,SDDK!$C$6:$D$200,2,0)</f>
        <v>Vải phế liệu</v>
      </c>
      <c r="N227" s="80" t="str">
        <f>VLOOKUP(J227,SDDK!$C$6:$D$200,2,0)</f>
        <v>Chi phí SXKD dở dang Thảm lót chân (giá kế hoạch 5500)</v>
      </c>
    </row>
    <row r="228" spans="1:14" ht="12.75">
      <c r="A228" s="76" t="str">
        <f t="shared" si="4"/>
        <v>30/10/2020</v>
      </c>
      <c r="B228" s="77" t="s">
        <v>292</v>
      </c>
      <c r="C228" s="77"/>
      <c r="D228" s="77"/>
      <c r="E228" s="67"/>
      <c r="F228" s="79" t="s">
        <v>1058</v>
      </c>
      <c r="G228" s="77" t="s">
        <v>254</v>
      </c>
      <c r="H228" s="77" t="s">
        <v>1232</v>
      </c>
      <c r="I228" s="81" t="s">
        <v>371</v>
      </c>
      <c r="J228" s="81" t="s">
        <v>388</v>
      </c>
      <c r="K228" s="82"/>
      <c r="L228" s="82">
        <v>20000000</v>
      </c>
      <c r="M228" s="80" t="str">
        <f>VLOOKUP(I228,SDDK!$C$6:$D$200,2,0)</f>
        <v>Tiền mặt tại quỹ, ngân phiếu (VNĐ)</v>
      </c>
      <c r="N228" s="80" t="str">
        <f>VLOOKUP(J228,SDDK!$C$6:$D$200,2,0)</f>
        <v>Phải thu ngắn hạn Công ty Metro</v>
      </c>
    </row>
    <row r="229" spans="1:14" ht="12.75">
      <c r="A229" s="76" t="str">
        <f t="shared" si="4"/>
        <v>30/10/2020</v>
      </c>
      <c r="B229" s="77"/>
      <c r="C229" s="77"/>
      <c r="D229" s="77" t="s">
        <v>613</v>
      </c>
      <c r="E229" s="77" t="s">
        <v>755</v>
      </c>
      <c r="F229" s="79" t="s">
        <v>1058</v>
      </c>
      <c r="G229" s="77" t="s">
        <v>802</v>
      </c>
      <c r="H229" s="77" t="s">
        <v>1233</v>
      </c>
      <c r="I229" s="81" t="s">
        <v>462</v>
      </c>
      <c r="J229" s="83" t="s">
        <v>374</v>
      </c>
      <c r="K229" s="82"/>
      <c r="L229" s="82">
        <v>50000000</v>
      </c>
      <c r="M229" s="80" t="str">
        <f>VLOOKUP(I229,SDDK!$C$6:$D$200,2,0)</f>
        <v>Phải trả ngắn hạn Công ty TNHH Tú Ngọc</v>
      </c>
      <c r="N229" s="80" t="str">
        <f>VLOOKUP(J229,SDDK!$C$6:$D$200,2,0)</f>
        <v>Tiền gửi ngân hàng (VNĐ)</v>
      </c>
    </row>
    <row r="230" spans="1:14" ht="12.75">
      <c r="A230" s="76" t="str">
        <f t="shared" si="4"/>
        <v>30/10/2020</v>
      </c>
      <c r="B230" s="78"/>
      <c r="C230" s="78"/>
      <c r="D230" s="77" t="s">
        <v>614</v>
      </c>
      <c r="E230" s="77" t="s">
        <v>716</v>
      </c>
      <c r="F230" s="79" t="s">
        <v>1058</v>
      </c>
      <c r="G230" s="77"/>
      <c r="H230" s="77" t="s">
        <v>1234</v>
      </c>
      <c r="I230" s="81" t="s">
        <v>155</v>
      </c>
      <c r="J230" s="81" t="s">
        <v>479</v>
      </c>
      <c r="K230" s="82"/>
      <c r="L230" s="82">
        <f>SUMIF($I$5:$I$331,J230,$L$5:$L$331)</f>
        <v>282750</v>
      </c>
      <c r="M230" s="80" t="str">
        <f>VLOOKUP(I230,SDDK!$C$6:$D$200,2,0)</f>
        <v>Thuế GTGT đầu ra hoạt động kinh doanh</v>
      </c>
      <c r="N230" s="80" t="str">
        <f>VLOOKUP(J230,SDDK!$C$6:$D$200,2,0)</f>
        <v>Thuế GTGT hàng bán bị trả lại, giảm giá, chiết khấu</v>
      </c>
    </row>
    <row r="231" spans="1:14" ht="12.75">
      <c r="A231" s="76" t="str">
        <f t="shared" si="4"/>
        <v>30/10/2020</v>
      </c>
      <c r="B231" s="78"/>
      <c r="C231" s="78"/>
      <c r="D231" s="77" t="s">
        <v>615</v>
      </c>
      <c r="E231" s="77" t="s">
        <v>716</v>
      </c>
      <c r="F231" s="79" t="s">
        <v>1058</v>
      </c>
      <c r="G231" s="77"/>
      <c r="H231" s="77" t="s">
        <v>1235</v>
      </c>
      <c r="I231" s="81" t="s">
        <v>155</v>
      </c>
      <c r="J231" s="81" t="s">
        <v>402</v>
      </c>
      <c r="K231" s="82"/>
      <c r="L231" s="82">
        <f>SUMIF($I$5:$I$331,J231,$L$5:$L$331)</f>
        <v>288254860</v>
      </c>
      <c r="M231" s="80" t="str">
        <f>VLOOKUP(I231,SDDK!$C$6:$D$200,2,0)</f>
        <v>Thuế GTGT đầu ra hoạt động kinh doanh</v>
      </c>
      <c r="N231" s="80" t="str">
        <f>VLOOKUP(J231,SDDK!$C$6:$D$200,2,0)</f>
        <v>Thuế GTGT được khấu trừ của hàng hóa, dịch vụ</v>
      </c>
    </row>
    <row r="232" spans="1:14" ht="12.75">
      <c r="A232" s="76" t="str">
        <f t="shared" si="4"/>
        <v>30/10/2020</v>
      </c>
      <c r="B232" s="78"/>
      <c r="C232" s="78"/>
      <c r="D232" s="77" t="s">
        <v>615</v>
      </c>
      <c r="E232" s="77" t="s">
        <v>716</v>
      </c>
      <c r="F232" s="79" t="s">
        <v>1058</v>
      </c>
      <c r="G232" s="77"/>
      <c r="H232" s="77" t="s">
        <v>1236</v>
      </c>
      <c r="I232" s="81" t="s">
        <v>155</v>
      </c>
      <c r="J232" s="81" t="s">
        <v>404</v>
      </c>
      <c r="K232" s="82"/>
      <c r="L232" s="82">
        <f>SUMIF($I$5:$I$331,J232,$L$5:$L$331)</f>
        <v>3500000</v>
      </c>
      <c r="M232" s="80" t="str">
        <f>VLOOKUP(I232,SDDK!$C$6:$D$200,2,0)</f>
        <v>Thuế GTGT đầu ra hoạt động kinh doanh</v>
      </c>
      <c r="N232" s="80" t="str">
        <f>VLOOKUP(J232,SDDK!$C$6:$D$200,2,0)</f>
        <v>Thuế GTGT được khấu trừ của TSCĐ</v>
      </c>
    </row>
    <row r="233" spans="1:14" ht="12.75">
      <c r="A233" s="76" t="str">
        <f t="shared" si="4"/>
        <v>31/10/2020</v>
      </c>
      <c r="B233" s="78"/>
      <c r="C233" s="78"/>
      <c r="D233" s="77" t="s">
        <v>616</v>
      </c>
      <c r="E233" s="77" t="s">
        <v>716</v>
      </c>
      <c r="F233" s="79" t="s">
        <v>1060</v>
      </c>
      <c r="G233" s="77" t="s">
        <v>1047</v>
      </c>
      <c r="H233" s="77" t="s">
        <v>1237</v>
      </c>
      <c r="I233" s="81" t="s">
        <v>394</v>
      </c>
      <c r="J233" s="81" t="s">
        <v>401</v>
      </c>
      <c r="K233" s="82"/>
      <c r="L233" s="82">
        <v>20000000</v>
      </c>
      <c r="M233" s="80" t="str">
        <f>VLOOKUP(I233,SDDK!$C$6:$D$200,2,0)</f>
        <v>Phải thu ngắn hạn Công ty CP Hoa Sen</v>
      </c>
      <c r="N233" s="80" t="str">
        <f>VLOOKUP(J233,SDDK!$C$6:$D$200,2,0)</f>
        <v>Phải thu dài hạn Công ty CP Hoa Sen</v>
      </c>
    </row>
    <row r="234" spans="1:14" ht="12.75">
      <c r="A234" s="76" t="str">
        <f t="shared" si="4"/>
        <v>31/10/2020</v>
      </c>
      <c r="B234" s="78"/>
      <c r="C234" s="78"/>
      <c r="D234" s="77" t="s">
        <v>616</v>
      </c>
      <c r="E234" s="77" t="s">
        <v>716</v>
      </c>
      <c r="F234" s="79" t="s">
        <v>1060</v>
      </c>
      <c r="G234" s="77" t="s">
        <v>795</v>
      </c>
      <c r="H234" s="77" t="s">
        <v>1238</v>
      </c>
      <c r="I234" s="81" t="s">
        <v>472</v>
      </c>
      <c r="J234" s="81" t="s">
        <v>458</v>
      </c>
      <c r="K234" s="82"/>
      <c r="L234" s="82">
        <v>10000000</v>
      </c>
      <c r="M234" s="80" t="str">
        <f>VLOOKUP(I234,SDDK!$C$6:$D$200,2,0)</f>
        <v>Phải trả dài hạn Công ty TNHH Khanh Hòa</v>
      </c>
      <c r="N234" s="80" t="str">
        <f>VLOOKUP(J234,SDDK!$C$6:$D$200,2,0)</f>
        <v>Phải trả ngắn hạn Công ty TNHH Khanh Hòa</v>
      </c>
    </row>
    <row r="235" spans="1:14" ht="12.75">
      <c r="A235" s="76" t="str">
        <f t="shared" si="4"/>
        <v>30/10/2020</v>
      </c>
      <c r="B235" s="77"/>
      <c r="C235" s="78"/>
      <c r="D235" s="77" t="s">
        <v>617</v>
      </c>
      <c r="E235" s="77" t="s">
        <v>747</v>
      </c>
      <c r="F235" s="79" t="s">
        <v>1058</v>
      </c>
      <c r="G235" s="77"/>
      <c r="H235" s="77" t="s">
        <v>1239</v>
      </c>
      <c r="I235" s="81" t="s">
        <v>30</v>
      </c>
      <c r="J235" s="81" t="s">
        <v>780</v>
      </c>
      <c r="K235" s="82"/>
      <c r="L235" s="85">
        <v>56296666.666666664</v>
      </c>
      <c r="M235" s="80" t="str">
        <f>VLOOKUP(I235,SDDK!$C$6:$D$200,2,0)</f>
        <v>Chi phí NC trực tiếp cho Vải thun coton</v>
      </c>
      <c r="N235" s="80" t="str">
        <f>VLOOKUP(J235,SDDK!$C$6:$D$200,2,0)</f>
        <v>Phải trả công nhân viên</v>
      </c>
    </row>
    <row r="236" spans="1:14" ht="12.75">
      <c r="A236" s="76" t="str">
        <f t="shared" si="4"/>
        <v>30/10/2020</v>
      </c>
      <c r="B236" s="77"/>
      <c r="C236" s="78"/>
      <c r="D236" s="77" t="s">
        <v>617</v>
      </c>
      <c r="E236" s="77" t="s">
        <v>747</v>
      </c>
      <c r="F236" s="79" t="s">
        <v>1058</v>
      </c>
      <c r="G236" s="77"/>
      <c r="H236" s="77" t="s">
        <v>1239</v>
      </c>
      <c r="I236" s="81" t="s">
        <v>31</v>
      </c>
      <c r="J236" s="81" t="s">
        <v>780</v>
      </c>
      <c r="K236" s="82"/>
      <c r="L236" s="85">
        <v>74864444.44444445</v>
      </c>
      <c r="M236" s="80" t="str">
        <f>VLOOKUP(I236,SDDK!$C$6:$D$200,2,0)</f>
        <v>Chi phí NC trực tiếp cho Thảm lót chân</v>
      </c>
      <c r="N236" s="80" t="str">
        <f>VLOOKUP(J236,SDDK!$C$6:$D$200,2,0)</f>
        <v>Phải trả công nhân viên</v>
      </c>
    </row>
    <row r="237" spans="1:14" ht="12.75">
      <c r="A237" s="76" t="str">
        <f t="shared" si="4"/>
        <v>30/10/2020</v>
      </c>
      <c r="B237" s="77"/>
      <c r="C237" s="78"/>
      <c r="D237" s="77" t="s">
        <v>617</v>
      </c>
      <c r="E237" s="77" t="s">
        <v>747</v>
      </c>
      <c r="F237" s="79" t="s">
        <v>1058</v>
      </c>
      <c r="G237" s="77"/>
      <c r="H237" s="77" t="s">
        <v>1239</v>
      </c>
      <c r="I237" s="81" t="s">
        <v>33</v>
      </c>
      <c r="J237" s="81" t="s">
        <v>780</v>
      </c>
      <c r="K237" s="82"/>
      <c r="L237" s="85">
        <v>27066666.666666664</v>
      </c>
      <c r="M237" s="80" t="str">
        <f>VLOOKUP(I237,SDDK!$C$6:$D$200,2,0)</f>
        <v>Chi phí NC trực tiếp cho Dịch vụ sửa chữa</v>
      </c>
      <c r="N237" s="80" t="str">
        <f>VLOOKUP(J237,SDDK!$C$6:$D$200,2,0)</f>
        <v>Phải trả công nhân viên</v>
      </c>
    </row>
    <row r="238" spans="1:14" ht="12.75">
      <c r="A238" s="76" t="str">
        <f t="shared" si="4"/>
        <v>30/10/2020</v>
      </c>
      <c r="B238" s="77"/>
      <c r="C238" s="78"/>
      <c r="D238" s="77" t="s">
        <v>617</v>
      </c>
      <c r="E238" s="77" t="s">
        <v>747</v>
      </c>
      <c r="F238" s="79" t="s">
        <v>1058</v>
      </c>
      <c r="G238" s="77"/>
      <c r="H238" s="77" t="s">
        <v>1239</v>
      </c>
      <c r="I238" s="81" t="s">
        <v>34</v>
      </c>
      <c r="J238" s="81" t="s">
        <v>780</v>
      </c>
      <c r="K238" s="82"/>
      <c r="L238" s="85">
        <v>21730000</v>
      </c>
      <c r="M238" s="80" t="str">
        <f>VLOOKUP(I238,SDDK!$C$6:$D$200,2,0)</f>
        <v>Chi phí nhân viên PX1</v>
      </c>
      <c r="N238" s="80" t="str">
        <f>VLOOKUP(J238,SDDK!$C$6:$D$200,2,0)</f>
        <v>Phải trả công nhân viên</v>
      </c>
    </row>
    <row r="239" spans="1:14" ht="12.75">
      <c r="A239" s="76" t="str">
        <f t="shared" si="4"/>
        <v>30/10/2020</v>
      </c>
      <c r="B239" s="77"/>
      <c r="C239" s="78"/>
      <c r="D239" s="77" t="s">
        <v>617</v>
      </c>
      <c r="E239" s="77" t="s">
        <v>747</v>
      </c>
      <c r="F239" s="79" t="s">
        <v>1058</v>
      </c>
      <c r="G239" s="77"/>
      <c r="H239" s="77" t="s">
        <v>1239</v>
      </c>
      <c r="I239" s="81" t="s">
        <v>36</v>
      </c>
      <c r="J239" s="81" t="s">
        <v>780</v>
      </c>
      <c r="K239" s="82"/>
      <c r="L239" s="85">
        <v>20530000</v>
      </c>
      <c r="M239" s="80" t="str">
        <f>VLOOKUP(I239,SDDK!$C$6:$D$200,2,0)</f>
        <v>Chi phí nhân viên PX2</v>
      </c>
      <c r="N239" s="80" t="str">
        <f>VLOOKUP(J239,SDDK!$C$6:$D$200,2,0)</f>
        <v>Phải trả công nhân viên</v>
      </c>
    </row>
    <row r="240" spans="1:14" ht="12.75">
      <c r="A240" s="76" t="str">
        <f t="shared" si="4"/>
        <v>30/10/2020</v>
      </c>
      <c r="B240" s="77"/>
      <c r="C240" s="78"/>
      <c r="D240" s="77" t="s">
        <v>617</v>
      </c>
      <c r="E240" s="77" t="s">
        <v>747</v>
      </c>
      <c r="F240" s="79" t="s">
        <v>1058</v>
      </c>
      <c r="G240" s="77"/>
      <c r="H240" s="77" t="s">
        <v>1239</v>
      </c>
      <c r="I240" s="81" t="s">
        <v>68</v>
      </c>
      <c r="J240" s="81" t="s">
        <v>780</v>
      </c>
      <c r="K240" s="82"/>
      <c r="L240" s="85">
        <v>39659074.074074075</v>
      </c>
      <c r="M240" s="80" t="str">
        <f>VLOOKUP(I240,SDDK!$C$6:$D$200,2,0)</f>
        <v>Chi phí nhân viên bán hàng</v>
      </c>
      <c r="N240" s="80" t="str">
        <f>VLOOKUP(J240,SDDK!$C$6:$D$200,2,0)</f>
        <v>Phải trả công nhân viên</v>
      </c>
    </row>
    <row r="241" spans="1:14" ht="12.75">
      <c r="A241" s="76" t="str">
        <f t="shared" si="4"/>
        <v>30/10/2020</v>
      </c>
      <c r="B241" s="77"/>
      <c r="C241" s="78"/>
      <c r="D241" s="77" t="s">
        <v>617</v>
      </c>
      <c r="E241" s="77" t="s">
        <v>747</v>
      </c>
      <c r="F241" s="79" t="s">
        <v>1058</v>
      </c>
      <c r="G241" s="77"/>
      <c r="H241" s="77" t="s">
        <v>1239</v>
      </c>
      <c r="I241" s="81" t="s">
        <v>82</v>
      </c>
      <c r="J241" s="81" t="s">
        <v>780</v>
      </c>
      <c r="K241" s="82"/>
      <c r="L241" s="85">
        <v>92193888.8888889</v>
      </c>
      <c r="M241" s="80" t="str">
        <f>VLOOKUP(I241,SDDK!$C$6:$D$200,2,0)</f>
        <v>Chi phí quản lý doanh nghiệp</v>
      </c>
      <c r="N241" s="80" t="str">
        <f>VLOOKUP(J241,SDDK!$C$6:$D$200,2,0)</f>
        <v>Phải trả công nhân viên</v>
      </c>
    </row>
    <row r="242" spans="1:14" ht="12.75">
      <c r="A242" s="76" t="str">
        <f t="shared" si="4"/>
        <v>30/10/2020</v>
      </c>
      <c r="B242" s="77"/>
      <c r="C242" s="78"/>
      <c r="D242" s="77" t="s">
        <v>618</v>
      </c>
      <c r="E242" s="77" t="s">
        <v>1007</v>
      </c>
      <c r="F242" s="79" t="s">
        <v>1058</v>
      </c>
      <c r="G242" s="77"/>
      <c r="H242" s="77" t="s">
        <v>1240</v>
      </c>
      <c r="I242" s="81" t="s">
        <v>168</v>
      </c>
      <c r="J242" s="81" t="s">
        <v>780</v>
      </c>
      <c r="K242" s="82"/>
      <c r="L242" s="85">
        <v>5000000</v>
      </c>
      <c r="M242" s="80" t="str">
        <f>VLOOKUP(I242,SDDK!$C$6:$D$200,2,0)</f>
        <v>Bảo hiễm xã hội</v>
      </c>
      <c r="N242" s="80" t="str">
        <f>VLOOKUP(J242,SDDK!$C$6:$D$200,2,0)</f>
        <v>Phải trả công nhân viên</v>
      </c>
    </row>
    <row r="243" spans="1:14" ht="12.75">
      <c r="A243" s="76" t="str">
        <f t="shared" si="4"/>
        <v>30/10/2020</v>
      </c>
      <c r="B243" s="77"/>
      <c r="C243" s="78"/>
      <c r="D243" s="77" t="s">
        <v>619</v>
      </c>
      <c r="E243" s="77" t="s">
        <v>1008</v>
      </c>
      <c r="F243" s="79" t="s">
        <v>1058</v>
      </c>
      <c r="G243" s="77"/>
      <c r="H243" s="77" t="s">
        <v>1241</v>
      </c>
      <c r="I243" s="81" t="s">
        <v>174</v>
      </c>
      <c r="J243" s="81" t="s">
        <v>780</v>
      </c>
      <c r="K243" s="82"/>
      <c r="L243" s="85">
        <v>14000000</v>
      </c>
      <c r="M243" s="80" t="str">
        <f>VLOOKUP(I243,SDDK!$C$6:$D$200,2,0)</f>
        <v>Quỹ khen thưởng</v>
      </c>
      <c r="N243" s="80" t="str">
        <f>VLOOKUP(J243,SDDK!$C$6:$D$200,2,0)</f>
        <v>Phải trả công nhân viên</v>
      </c>
    </row>
    <row r="244" spans="1:14" ht="12.75">
      <c r="A244" s="76" t="str">
        <f t="shared" si="4"/>
        <v>30/10/2020</v>
      </c>
      <c r="B244" s="77"/>
      <c r="C244" s="78"/>
      <c r="D244" s="77" t="s">
        <v>620</v>
      </c>
      <c r="E244" s="77" t="s">
        <v>735</v>
      </c>
      <c r="F244" s="79" t="s">
        <v>1058</v>
      </c>
      <c r="G244" s="77"/>
      <c r="H244" s="77" t="s">
        <v>1242</v>
      </c>
      <c r="I244" s="81" t="s">
        <v>30</v>
      </c>
      <c r="J244" s="81" t="s">
        <v>166</v>
      </c>
      <c r="K244" s="82"/>
      <c r="L244" s="85">
        <v>1002000</v>
      </c>
      <c r="M244" s="80" t="str">
        <f>VLOOKUP(I244,SDDK!$C$6:$D$200,2,0)</f>
        <v>Chi phí NC trực tiếp cho Vải thun coton</v>
      </c>
      <c r="N244" s="80" t="str">
        <f>VLOOKUP(J244,SDDK!$C$6:$D$200,2,0)</f>
        <v>Kinh phí công đoàn</v>
      </c>
    </row>
    <row r="245" spans="1:14" ht="12.75">
      <c r="A245" s="76" t="str">
        <f t="shared" si="4"/>
        <v>30/10/2020</v>
      </c>
      <c r="B245" s="77"/>
      <c r="C245" s="78"/>
      <c r="D245" s="77" t="s">
        <v>621</v>
      </c>
      <c r="E245" s="77" t="s">
        <v>735</v>
      </c>
      <c r="F245" s="79" t="s">
        <v>1058</v>
      </c>
      <c r="G245" s="77"/>
      <c r="H245" s="77" t="s">
        <v>1243</v>
      </c>
      <c r="I245" s="81" t="s">
        <v>31</v>
      </c>
      <c r="J245" s="81" t="s">
        <v>166</v>
      </c>
      <c r="K245" s="82"/>
      <c r="L245" s="85">
        <v>1336000</v>
      </c>
      <c r="M245" s="80" t="str">
        <f>VLOOKUP(I245,SDDK!$C$6:$D$200,2,0)</f>
        <v>Chi phí NC trực tiếp cho Thảm lót chân</v>
      </c>
      <c r="N245" s="80" t="str">
        <f>VLOOKUP(J245,SDDK!$C$6:$D$200,2,0)</f>
        <v>Kinh phí công đoàn</v>
      </c>
    </row>
    <row r="246" spans="1:14" ht="12.75">
      <c r="A246" s="76" t="str">
        <f t="shared" si="4"/>
        <v>30/10/2020</v>
      </c>
      <c r="B246" s="77"/>
      <c r="C246" s="78"/>
      <c r="D246" s="77" t="s">
        <v>622</v>
      </c>
      <c r="E246" s="77" t="s">
        <v>735</v>
      </c>
      <c r="F246" s="79" t="s">
        <v>1058</v>
      </c>
      <c r="G246" s="77"/>
      <c r="H246" s="77" t="s">
        <v>1244</v>
      </c>
      <c r="I246" s="81" t="s">
        <v>33</v>
      </c>
      <c r="J246" s="81" t="s">
        <v>166</v>
      </c>
      <c r="K246" s="82"/>
      <c r="L246" s="85">
        <v>494000</v>
      </c>
      <c r="M246" s="80" t="str">
        <f>VLOOKUP(I246,SDDK!$C$6:$D$200,2,0)</f>
        <v>Chi phí NC trực tiếp cho Dịch vụ sửa chữa</v>
      </c>
      <c r="N246" s="80" t="str">
        <f>VLOOKUP(J246,SDDK!$C$6:$D$200,2,0)</f>
        <v>Kinh phí công đoàn</v>
      </c>
    </row>
    <row r="247" spans="1:14" ht="12.75">
      <c r="A247" s="76" t="str">
        <f t="shared" si="4"/>
        <v>30/10/2020</v>
      </c>
      <c r="B247" s="77"/>
      <c r="C247" s="78"/>
      <c r="D247" s="77" t="s">
        <v>623</v>
      </c>
      <c r="E247" s="77" t="s">
        <v>735</v>
      </c>
      <c r="F247" s="79" t="s">
        <v>1058</v>
      </c>
      <c r="G247" s="77"/>
      <c r="H247" s="77" t="s">
        <v>1245</v>
      </c>
      <c r="I247" s="81" t="s">
        <v>34</v>
      </c>
      <c r="J247" s="81" t="s">
        <v>166</v>
      </c>
      <c r="K247" s="82"/>
      <c r="L247" s="85">
        <v>336000</v>
      </c>
      <c r="M247" s="80" t="str">
        <f>VLOOKUP(I247,SDDK!$C$6:$D$200,2,0)</f>
        <v>Chi phí nhân viên PX1</v>
      </c>
      <c r="N247" s="80" t="str">
        <f>VLOOKUP(J247,SDDK!$C$6:$D$200,2,0)</f>
        <v>Kinh phí công đoàn</v>
      </c>
    </row>
    <row r="248" spans="1:14" ht="12.75">
      <c r="A248" s="76" t="str">
        <f t="shared" si="4"/>
        <v>30/10/2020</v>
      </c>
      <c r="B248" s="77"/>
      <c r="C248" s="78"/>
      <c r="D248" s="77" t="s">
        <v>624</v>
      </c>
      <c r="E248" s="77" t="s">
        <v>735</v>
      </c>
      <c r="F248" s="79" t="s">
        <v>1058</v>
      </c>
      <c r="G248" s="77"/>
      <c r="H248" s="77" t="s">
        <v>1246</v>
      </c>
      <c r="I248" s="81" t="s">
        <v>36</v>
      </c>
      <c r="J248" s="81" t="s">
        <v>166</v>
      </c>
      <c r="K248" s="82"/>
      <c r="L248" s="85">
        <v>330000</v>
      </c>
      <c r="M248" s="80" t="str">
        <f>VLOOKUP(I248,SDDK!$C$6:$D$200,2,0)</f>
        <v>Chi phí nhân viên PX2</v>
      </c>
      <c r="N248" s="80" t="str">
        <f>VLOOKUP(J248,SDDK!$C$6:$D$200,2,0)</f>
        <v>Kinh phí công đoàn</v>
      </c>
    </row>
    <row r="249" spans="1:14" ht="12.75">
      <c r="A249" s="76" t="str">
        <f t="shared" si="4"/>
        <v>30/10/2020</v>
      </c>
      <c r="B249" s="77"/>
      <c r="C249" s="78"/>
      <c r="D249" s="77" t="s">
        <v>625</v>
      </c>
      <c r="E249" s="77" t="s">
        <v>735</v>
      </c>
      <c r="F249" s="79" t="s">
        <v>1058</v>
      </c>
      <c r="G249" s="77"/>
      <c r="H249" s="77" t="s">
        <v>1247</v>
      </c>
      <c r="I249" s="81" t="s">
        <v>68</v>
      </c>
      <c r="J249" s="81" t="s">
        <v>166</v>
      </c>
      <c r="K249" s="82"/>
      <c r="L249" s="85">
        <v>674000</v>
      </c>
      <c r="M249" s="80" t="str">
        <f>VLOOKUP(I249,SDDK!$C$6:$D$200,2,0)</f>
        <v>Chi phí nhân viên bán hàng</v>
      </c>
      <c r="N249" s="80" t="str">
        <f>VLOOKUP(J249,SDDK!$C$6:$D$200,2,0)</f>
        <v>Kinh phí công đoàn</v>
      </c>
    </row>
    <row r="250" spans="1:14" ht="12.75">
      <c r="A250" s="76" t="str">
        <f t="shared" si="4"/>
        <v>30/10/2020</v>
      </c>
      <c r="B250" s="77"/>
      <c r="C250" s="78"/>
      <c r="D250" s="77" t="s">
        <v>626</v>
      </c>
      <c r="E250" s="77" t="s">
        <v>735</v>
      </c>
      <c r="F250" s="79" t="s">
        <v>1058</v>
      </c>
      <c r="G250" s="77"/>
      <c r="H250" s="77" t="s">
        <v>1248</v>
      </c>
      <c r="I250" s="81" t="s">
        <v>82</v>
      </c>
      <c r="J250" s="81" t="s">
        <v>166</v>
      </c>
      <c r="K250" s="82"/>
      <c r="L250" s="85">
        <v>1644000</v>
      </c>
      <c r="M250" s="80" t="str">
        <f>VLOOKUP(I250,SDDK!$C$6:$D$200,2,0)</f>
        <v>Chi phí quản lý doanh nghiệp</v>
      </c>
      <c r="N250" s="80" t="str">
        <f>VLOOKUP(J250,SDDK!$C$6:$D$200,2,0)</f>
        <v>Kinh phí công đoàn</v>
      </c>
    </row>
    <row r="251" spans="1:14" ht="12.75">
      <c r="A251" s="76" t="str">
        <f t="shared" si="4"/>
        <v>30/10/2020</v>
      </c>
      <c r="B251" s="77"/>
      <c r="C251" s="78"/>
      <c r="D251" s="77" t="s">
        <v>620</v>
      </c>
      <c r="E251" s="77" t="s">
        <v>735</v>
      </c>
      <c r="F251" s="79" t="s">
        <v>1058</v>
      </c>
      <c r="G251" s="77"/>
      <c r="H251" s="77" t="s">
        <v>1249</v>
      </c>
      <c r="I251" s="81" t="s">
        <v>30</v>
      </c>
      <c r="J251" s="81" t="s">
        <v>168</v>
      </c>
      <c r="K251" s="82"/>
      <c r="L251" s="85">
        <v>8767500</v>
      </c>
      <c r="M251" s="80" t="str">
        <f>VLOOKUP(I251,SDDK!$C$6:$D$200,2,0)</f>
        <v>Chi phí NC trực tiếp cho Vải thun coton</v>
      </c>
      <c r="N251" s="80" t="str">
        <f>VLOOKUP(J251,SDDK!$C$6:$D$200,2,0)</f>
        <v>Bảo hiễm xã hội</v>
      </c>
    </row>
    <row r="252" spans="1:14" ht="12.75">
      <c r="A252" s="76" t="str">
        <f t="shared" si="4"/>
        <v>30/10/2020</v>
      </c>
      <c r="B252" s="77"/>
      <c r="C252" s="78"/>
      <c r="D252" s="77" t="s">
        <v>621</v>
      </c>
      <c r="E252" s="77" t="s">
        <v>735</v>
      </c>
      <c r="F252" s="79" t="s">
        <v>1058</v>
      </c>
      <c r="G252" s="77"/>
      <c r="H252" s="77" t="s">
        <v>1250</v>
      </c>
      <c r="I252" s="81" t="s">
        <v>31</v>
      </c>
      <c r="J252" s="81" t="s">
        <v>168</v>
      </c>
      <c r="K252" s="82"/>
      <c r="L252" s="85">
        <v>11690000</v>
      </c>
      <c r="M252" s="80" t="str">
        <f>VLOOKUP(I252,SDDK!$C$6:$D$200,2,0)</f>
        <v>Chi phí NC trực tiếp cho Thảm lót chân</v>
      </c>
      <c r="N252" s="80" t="str">
        <f>VLOOKUP(J252,SDDK!$C$6:$D$200,2,0)</f>
        <v>Bảo hiễm xã hội</v>
      </c>
    </row>
    <row r="253" spans="1:14" ht="12.75">
      <c r="A253" s="76" t="str">
        <f t="shared" si="4"/>
        <v>30/10/2020</v>
      </c>
      <c r="B253" s="77"/>
      <c r="C253" s="78"/>
      <c r="D253" s="77" t="s">
        <v>622</v>
      </c>
      <c r="E253" s="77" t="s">
        <v>735</v>
      </c>
      <c r="F253" s="79" t="s">
        <v>1058</v>
      </c>
      <c r="G253" s="77"/>
      <c r="H253" s="77" t="s">
        <v>1251</v>
      </c>
      <c r="I253" s="81" t="s">
        <v>33</v>
      </c>
      <c r="J253" s="81" t="s">
        <v>168</v>
      </c>
      <c r="K253" s="82"/>
      <c r="L253" s="85">
        <v>4322500</v>
      </c>
      <c r="M253" s="80" t="str">
        <f>VLOOKUP(I253,SDDK!$C$6:$D$200,2,0)</f>
        <v>Chi phí NC trực tiếp cho Dịch vụ sửa chữa</v>
      </c>
      <c r="N253" s="80" t="str">
        <f>VLOOKUP(J253,SDDK!$C$6:$D$200,2,0)</f>
        <v>Bảo hiễm xã hội</v>
      </c>
    </row>
    <row r="254" spans="1:14" ht="12.75">
      <c r="A254" s="76" t="str">
        <f t="shared" si="4"/>
        <v>30/10/2020</v>
      </c>
      <c r="B254" s="77"/>
      <c r="C254" s="78"/>
      <c r="D254" s="77" t="s">
        <v>623</v>
      </c>
      <c r="E254" s="77" t="s">
        <v>735</v>
      </c>
      <c r="F254" s="79" t="s">
        <v>1058</v>
      </c>
      <c r="G254" s="77"/>
      <c r="H254" s="77" t="s">
        <v>1252</v>
      </c>
      <c r="I254" s="81" t="s">
        <v>34</v>
      </c>
      <c r="J254" s="81" t="s">
        <v>168</v>
      </c>
      <c r="K254" s="82"/>
      <c r="L254" s="85">
        <v>2940000</v>
      </c>
      <c r="M254" s="80" t="str">
        <f>VLOOKUP(I254,SDDK!$C$6:$D$200,2,0)</f>
        <v>Chi phí nhân viên PX1</v>
      </c>
      <c r="N254" s="80" t="str">
        <f>VLOOKUP(J254,SDDK!$C$6:$D$200,2,0)</f>
        <v>Bảo hiễm xã hội</v>
      </c>
    </row>
    <row r="255" spans="1:14" ht="12.75">
      <c r="A255" s="76" t="str">
        <f t="shared" si="4"/>
        <v>30/10/2020</v>
      </c>
      <c r="B255" s="77"/>
      <c r="C255" s="78"/>
      <c r="D255" s="77" t="s">
        <v>624</v>
      </c>
      <c r="E255" s="77" t="s">
        <v>735</v>
      </c>
      <c r="F255" s="79" t="s">
        <v>1058</v>
      </c>
      <c r="G255" s="77"/>
      <c r="H255" s="77" t="s">
        <v>1253</v>
      </c>
      <c r="I255" s="81" t="s">
        <v>36</v>
      </c>
      <c r="J255" s="81" t="s">
        <v>168</v>
      </c>
      <c r="K255" s="82"/>
      <c r="L255" s="85">
        <v>2887500</v>
      </c>
      <c r="M255" s="80" t="str">
        <f>VLOOKUP(I255,SDDK!$C$6:$D$200,2,0)</f>
        <v>Chi phí nhân viên PX2</v>
      </c>
      <c r="N255" s="80" t="str">
        <f>VLOOKUP(J255,SDDK!$C$6:$D$200,2,0)</f>
        <v>Bảo hiễm xã hội</v>
      </c>
    </row>
    <row r="256" spans="1:14" ht="12.75">
      <c r="A256" s="76" t="str">
        <f t="shared" si="4"/>
        <v>30/10/2020</v>
      </c>
      <c r="B256" s="77"/>
      <c r="C256" s="78"/>
      <c r="D256" s="77" t="s">
        <v>625</v>
      </c>
      <c r="E256" s="77" t="s">
        <v>735</v>
      </c>
      <c r="F256" s="79" t="s">
        <v>1058</v>
      </c>
      <c r="G256" s="77"/>
      <c r="H256" s="77" t="s">
        <v>1254</v>
      </c>
      <c r="I256" s="81" t="s">
        <v>68</v>
      </c>
      <c r="J256" s="81" t="s">
        <v>168</v>
      </c>
      <c r="K256" s="82"/>
      <c r="L256" s="85">
        <v>5897500</v>
      </c>
      <c r="M256" s="80" t="str">
        <f>VLOOKUP(I256,SDDK!$C$6:$D$200,2,0)</f>
        <v>Chi phí nhân viên bán hàng</v>
      </c>
      <c r="N256" s="80" t="str">
        <f>VLOOKUP(J256,SDDK!$C$6:$D$200,2,0)</f>
        <v>Bảo hiễm xã hội</v>
      </c>
    </row>
    <row r="257" spans="1:14" ht="12.75">
      <c r="A257" s="76" t="str">
        <f t="shared" si="4"/>
        <v>30/10/2020</v>
      </c>
      <c r="B257" s="77"/>
      <c r="C257" s="78"/>
      <c r="D257" s="77" t="s">
        <v>626</v>
      </c>
      <c r="E257" s="77" t="s">
        <v>735</v>
      </c>
      <c r="F257" s="79" t="s">
        <v>1058</v>
      </c>
      <c r="G257" s="77"/>
      <c r="H257" s="77" t="s">
        <v>1255</v>
      </c>
      <c r="I257" s="81" t="s">
        <v>82</v>
      </c>
      <c r="J257" s="81" t="s">
        <v>168</v>
      </c>
      <c r="K257" s="82"/>
      <c r="L257" s="85">
        <v>14385000</v>
      </c>
      <c r="M257" s="80" t="str">
        <f>VLOOKUP(I257,SDDK!$C$6:$D$200,2,0)</f>
        <v>Chi phí quản lý doanh nghiệp</v>
      </c>
      <c r="N257" s="80" t="str">
        <f>VLOOKUP(J257,SDDK!$C$6:$D$200,2,0)</f>
        <v>Bảo hiễm xã hội</v>
      </c>
    </row>
    <row r="258" spans="1:14" ht="12.75">
      <c r="A258" s="76" t="str">
        <f t="shared" si="4"/>
        <v>30/10/2020</v>
      </c>
      <c r="B258" s="77"/>
      <c r="C258" s="78"/>
      <c r="D258" s="77" t="s">
        <v>620</v>
      </c>
      <c r="E258" s="77" t="s">
        <v>735</v>
      </c>
      <c r="F258" s="79" t="s">
        <v>1058</v>
      </c>
      <c r="G258" s="77"/>
      <c r="H258" s="77" t="s">
        <v>1256</v>
      </c>
      <c r="I258" s="81" t="s">
        <v>30</v>
      </c>
      <c r="J258" s="81" t="s">
        <v>170</v>
      </c>
      <c r="K258" s="82"/>
      <c r="L258" s="85">
        <v>1503000</v>
      </c>
      <c r="M258" s="80" t="str">
        <f>VLOOKUP(I258,SDDK!$C$6:$D$200,2,0)</f>
        <v>Chi phí NC trực tiếp cho Vải thun coton</v>
      </c>
      <c r="N258" s="80" t="str">
        <f>VLOOKUP(J258,SDDK!$C$6:$D$200,2,0)</f>
        <v>Bảo hiễm y tế</v>
      </c>
    </row>
    <row r="259" spans="1:14" ht="12.75">
      <c r="A259" s="76" t="str">
        <f t="shared" si="4"/>
        <v>30/10/2020</v>
      </c>
      <c r="B259" s="77"/>
      <c r="C259" s="78"/>
      <c r="D259" s="77" t="s">
        <v>621</v>
      </c>
      <c r="E259" s="77" t="s">
        <v>735</v>
      </c>
      <c r="F259" s="79" t="s">
        <v>1058</v>
      </c>
      <c r="G259" s="77"/>
      <c r="H259" s="77" t="s">
        <v>1257</v>
      </c>
      <c r="I259" s="81" t="s">
        <v>31</v>
      </c>
      <c r="J259" s="81" t="s">
        <v>170</v>
      </c>
      <c r="K259" s="82"/>
      <c r="L259" s="85">
        <v>2004000</v>
      </c>
      <c r="M259" s="80" t="str">
        <f>VLOOKUP(I259,SDDK!$C$6:$D$200,2,0)</f>
        <v>Chi phí NC trực tiếp cho Thảm lót chân</v>
      </c>
      <c r="N259" s="80" t="str">
        <f>VLOOKUP(J259,SDDK!$C$6:$D$200,2,0)</f>
        <v>Bảo hiễm y tế</v>
      </c>
    </row>
    <row r="260" spans="1:14" ht="12.75">
      <c r="A260" s="76" t="str">
        <f t="shared" si="4"/>
        <v>30/10/2020</v>
      </c>
      <c r="B260" s="77"/>
      <c r="C260" s="78"/>
      <c r="D260" s="77" t="s">
        <v>622</v>
      </c>
      <c r="E260" s="77" t="s">
        <v>735</v>
      </c>
      <c r="F260" s="79" t="s">
        <v>1058</v>
      </c>
      <c r="G260" s="77"/>
      <c r="H260" s="77" t="s">
        <v>1258</v>
      </c>
      <c r="I260" s="81" t="s">
        <v>33</v>
      </c>
      <c r="J260" s="81" t="s">
        <v>170</v>
      </c>
      <c r="K260" s="82"/>
      <c r="L260" s="85">
        <v>741000</v>
      </c>
      <c r="M260" s="80" t="str">
        <f>VLOOKUP(I260,SDDK!$C$6:$D$200,2,0)</f>
        <v>Chi phí NC trực tiếp cho Dịch vụ sửa chữa</v>
      </c>
      <c r="N260" s="80" t="str">
        <f>VLOOKUP(J260,SDDK!$C$6:$D$200,2,0)</f>
        <v>Bảo hiễm y tế</v>
      </c>
    </row>
    <row r="261" spans="1:14" ht="12.75">
      <c r="A261" s="76" t="str">
        <f t="shared" si="4"/>
        <v>30/10/2020</v>
      </c>
      <c r="B261" s="77"/>
      <c r="C261" s="78"/>
      <c r="D261" s="77" t="s">
        <v>623</v>
      </c>
      <c r="E261" s="77" t="s">
        <v>735</v>
      </c>
      <c r="F261" s="79" t="s">
        <v>1058</v>
      </c>
      <c r="G261" s="77"/>
      <c r="H261" s="77" t="s">
        <v>1259</v>
      </c>
      <c r="I261" s="81" t="s">
        <v>34</v>
      </c>
      <c r="J261" s="81" t="s">
        <v>170</v>
      </c>
      <c r="K261" s="82"/>
      <c r="L261" s="85">
        <v>504000</v>
      </c>
      <c r="M261" s="80" t="str">
        <f>VLOOKUP(I261,SDDK!$C$6:$D$200,2,0)</f>
        <v>Chi phí nhân viên PX1</v>
      </c>
      <c r="N261" s="80" t="str">
        <f>VLOOKUP(J261,SDDK!$C$6:$D$200,2,0)</f>
        <v>Bảo hiễm y tế</v>
      </c>
    </row>
    <row r="262" spans="1:14" ht="12.75">
      <c r="A262" s="76" t="str">
        <f aca="true" t="shared" si="5" ref="A262:A325">F262</f>
        <v>30/10/2020</v>
      </c>
      <c r="B262" s="77"/>
      <c r="C262" s="78"/>
      <c r="D262" s="77" t="s">
        <v>624</v>
      </c>
      <c r="E262" s="77" t="s">
        <v>735</v>
      </c>
      <c r="F262" s="79" t="s">
        <v>1058</v>
      </c>
      <c r="G262" s="77"/>
      <c r="H262" s="77" t="s">
        <v>1260</v>
      </c>
      <c r="I262" s="81" t="s">
        <v>36</v>
      </c>
      <c r="J262" s="81" t="s">
        <v>170</v>
      </c>
      <c r="K262" s="82"/>
      <c r="L262" s="85">
        <v>495000</v>
      </c>
      <c r="M262" s="80" t="str">
        <f>VLOOKUP(I262,SDDK!$C$6:$D$200,2,0)</f>
        <v>Chi phí nhân viên PX2</v>
      </c>
      <c r="N262" s="80" t="str">
        <f>VLOOKUP(J262,SDDK!$C$6:$D$200,2,0)</f>
        <v>Bảo hiễm y tế</v>
      </c>
    </row>
    <row r="263" spans="1:14" ht="12.75">
      <c r="A263" s="76" t="str">
        <f t="shared" si="5"/>
        <v>30/10/2020</v>
      </c>
      <c r="B263" s="77"/>
      <c r="C263" s="78"/>
      <c r="D263" s="77" t="s">
        <v>625</v>
      </c>
      <c r="E263" s="77" t="s">
        <v>735</v>
      </c>
      <c r="F263" s="79" t="s">
        <v>1058</v>
      </c>
      <c r="G263" s="77"/>
      <c r="H263" s="77" t="s">
        <v>1261</v>
      </c>
      <c r="I263" s="81" t="s">
        <v>68</v>
      </c>
      <c r="J263" s="81" t="s">
        <v>170</v>
      </c>
      <c r="K263" s="82"/>
      <c r="L263" s="85">
        <v>1011000</v>
      </c>
      <c r="M263" s="80" t="str">
        <f>VLOOKUP(I263,SDDK!$C$6:$D$200,2,0)</f>
        <v>Chi phí nhân viên bán hàng</v>
      </c>
      <c r="N263" s="80" t="str">
        <f>VLOOKUP(J263,SDDK!$C$6:$D$200,2,0)</f>
        <v>Bảo hiễm y tế</v>
      </c>
    </row>
    <row r="264" spans="1:14" ht="12.75">
      <c r="A264" s="76" t="str">
        <f t="shared" si="5"/>
        <v>30/10/2020</v>
      </c>
      <c r="B264" s="77"/>
      <c r="C264" s="78"/>
      <c r="D264" s="77" t="s">
        <v>626</v>
      </c>
      <c r="E264" s="77" t="s">
        <v>735</v>
      </c>
      <c r="F264" s="79" t="s">
        <v>1058</v>
      </c>
      <c r="G264" s="77"/>
      <c r="H264" s="77" t="s">
        <v>1262</v>
      </c>
      <c r="I264" s="81" t="s">
        <v>82</v>
      </c>
      <c r="J264" s="81" t="s">
        <v>170</v>
      </c>
      <c r="K264" s="82"/>
      <c r="L264" s="85">
        <v>2466000</v>
      </c>
      <c r="M264" s="80" t="str">
        <f>VLOOKUP(I264,SDDK!$C$6:$D$200,2,0)</f>
        <v>Chi phí quản lý doanh nghiệp</v>
      </c>
      <c r="N264" s="80" t="str">
        <f>VLOOKUP(J264,SDDK!$C$6:$D$200,2,0)</f>
        <v>Bảo hiễm y tế</v>
      </c>
    </row>
    <row r="265" spans="1:14" ht="12.75">
      <c r="A265" s="76" t="str">
        <f t="shared" si="5"/>
        <v>30/10/2020</v>
      </c>
      <c r="B265" s="77"/>
      <c r="C265" s="78"/>
      <c r="D265" s="77" t="s">
        <v>620</v>
      </c>
      <c r="E265" s="77" t="s">
        <v>735</v>
      </c>
      <c r="F265" s="79" t="s">
        <v>1058</v>
      </c>
      <c r="G265" s="77"/>
      <c r="H265" s="77" t="s">
        <v>1263</v>
      </c>
      <c r="I265" s="81" t="s">
        <v>30</v>
      </c>
      <c r="J265" s="81" t="s">
        <v>781</v>
      </c>
      <c r="K265" s="82"/>
      <c r="L265" s="85">
        <v>501000</v>
      </c>
      <c r="M265" s="80" t="str">
        <f>VLOOKUP(I265,SDDK!$C$6:$D$200,2,0)</f>
        <v>Chi phí NC trực tiếp cho Vải thun coton</v>
      </c>
      <c r="N265" s="80" t="str">
        <f>VLOOKUP(J265,SDDK!$C$6:$D$200,2,0)</f>
        <v>Bảo hiễm thất nghiệp</v>
      </c>
    </row>
    <row r="266" spans="1:14" ht="12.75">
      <c r="A266" s="76" t="str">
        <f t="shared" si="5"/>
        <v>30/10/2020</v>
      </c>
      <c r="B266" s="77"/>
      <c r="C266" s="78"/>
      <c r="D266" s="77" t="s">
        <v>621</v>
      </c>
      <c r="E266" s="77" t="s">
        <v>735</v>
      </c>
      <c r="F266" s="79" t="s">
        <v>1058</v>
      </c>
      <c r="G266" s="77"/>
      <c r="H266" s="77" t="s">
        <v>1264</v>
      </c>
      <c r="I266" s="81" t="s">
        <v>31</v>
      </c>
      <c r="J266" s="81" t="s">
        <v>781</v>
      </c>
      <c r="K266" s="82"/>
      <c r="L266" s="85">
        <v>668000</v>
      </c>
      <c r="M266" s="80" t="str">
        <f>VLOOKUP(I266,SDDK!$C$6:$D$200,2,0)</f>
        <v>Chi phí NC trực tiếp cho Thảm lót chân</v>
      </c>
      <c r="N266" s="80" t="str">
        <f>VLOOKUP(J266,SDDK!$C$6:$D$200,2,0)</f>
        <v>Bảo hiễm thất nghiệp</v>
      </c>
    </row>
    <row r="267" spans="1:14" ht="12.75">
      <c r="A267" s="76" t="str">
        <f t="shared" si="5"/>
        <v>30/10/2020</v>
      </c>
      <c r="B267" s="77"/>
      <c r="C267" s="78"/>
      <c r="D267" s="77" t="s">
        <v>622</v>
      </c>
      <c r="E267" s="77" t="s">
        <v>735</v>
      </c>
      <c r="F267" s="79" t="s">
        <v>1058</v>
      </c>
      <c r="G267" s="77"/>
      <c r="H267" s="77" t="s">
        <v>1265</v>
      </c>
      <c r="I267" s="81" t="s">
        <v>33</v>
      </c>
      <c r="J267" s="81" t="s">
        <v>781</v>
      </c>
      <c r="K267" s="82"/>
      <c r="L267" s="85">
        <v>247000</v>
      </c>
      <c r="M267" s="80" t="str">
        <f>VLOOKUP(I267,SDDK!$C$6:$D$200,2,0)</f>
        <v>Chi phí NC trực tiếp cho Dịch vụ sửa chữa</v>
      </c>
      <c r="N267" s="80" t="str">
        <f>VLOOKUP(J267,SDDK!$C$6:$D$200,2,0)</f>
        <v>Bảo hiễm thất nghiệp</v>
      </c>
    </row>
    <row r="268" spans="1:14" ht="12.75">
      <c r="A268" s="76" t="str">
        <f t="shared" si="5"/>
        <v>30/10/2020</v>
      </c>
      <c r="B268" s="77"/>
      <c r="C268" s="78"/>
      <c r="D268" s="77" t="s">
        <v>623</v>
      </c>
      <c r="E268" s="77" t="s">
        <v>735</v>
      </c>
      <c r="F268" s="79" t="s">
        <v>1058</v>
      </c>
      <c r="G268" s="77"/>
      <c r="H268" s="77" t="s">
        <v>1266</v>
      </c>
      <c r="I268" s="81" t="s">
        <v>34</v>
      </c>
      <c r="J268" s="81" t="s">
        <v>781</v>
      </c>
      <c r="K268" s="82"/>
      <c r="L268" s="85">
        <v>168000</v>
      </c>
      <c r="M268" s="80" t="str">
        <f>VLOOKUP(I268,SDDK!$C$6:$D$200,2,0)</f>
        <v>Chi phí nhân viên PX1</v>
      </c>
      <c r="N268" s="80" t="str">
        <f>VLOOKUP(J268,SDDK!$C$6:$D$200,2,0)</f>
        <v>Bảo hiễm thất nghiệp</v>
      </c>
    </row>
    <row r="269" spans="1:14" ht="12.75">
      <c r="A269" s="76" t="str">
        <f t="shared" si="5"/>
        <v>30/10/2020</v>
      </c>
      <c r="B269" s="77"/>
      <c r="C269" s="78"/>
      <c r="D269" s="77" t="s">
        <v>624</v>
      </c>
      <c r="E269" s="77" t="s">
        <v>735</v>
      </c>
      <c r="F269" s="79" t="s">
        <v>1058</v>
      </c>
      <c r="G269" s="77"/>
      <c r="H269" s="77" t="s">
        <v>1267</v>
      </c>
      <c r="I269" s="81" t="s">
        <v>36</v>
      </c>
      <c r="J269" s="81" t="s">
        <v>781</v>
      </c>
      <c r="K269" s="82"/>
      <c r="L269" s="85">
        <v>165000</v>
      </c>
      <c r="M269" s="80" t="str">
        <f>VLOOKUP(I269,SDDK!$C$6:$D$200,2,0)</f>
        <v>Chi phí nhân viên PX2</v>
      </c>
      <c r="N269" s="80" t="str">
        <f>VLOOKUP(J269,SDDK!$C$6:$D$200,2,0)</f>
        <v>Bảo hiễm thất nghiệp</v>
      </c>
    </row>
    <row r="270" spans="1:14" ht="12.75">
      <c r="A270" s="76" t="str">
        <f t="shared" si="5"/>
        <v>30/10/2020</v>
      </c>
      <c r="B270" s="77"/>
      <c r="C270" s="78"/>
      <c r="D270" s="77" t="s">
        <v>625</v>
      </c>
      <c r="E270" s="77" t="s">
        <v>735</v>
      </c>
      <c r="F270" s="79" t="s">
        <v>1058</v>
      </c>
      <c r="G270" s="77"/>
      <c r="H270" s="77" t="s">
        <v>1268</v>
      </c>
      <c r="I270" s="81" t="s">
        <v>68</v>
      </c>
      <c r="J270" s="81" t="s">
        <v>781</v>
      </c>
      <c r="K270" s="82"/>
      <c r="L270" s="85">
        <v>337000</v>
      </c>
      <c r="M270" s="80" t="str">
        <f>VLOOKUP(I270,SDDK!$C$6:$D$200,2,0)</f>
        <v>Chi phí nhân viên bán hàng</v>
      </c>
      <c r="N270" s="80" t="str">
        <f>VLOOKUP(J270,SDDK!$C$6:$D$200,2,0)</f>
        <v>Bảo hiễm thất nghiệp</v>
      </c>
    </row>
    <row r="271" spans="1:14" ht="12.75">
      <c r="A271" s="76" t="str">
        <f t="shared" si="5"/>
        <v>30/10/2020</v>
      </c>
      <c r="B271" s="77"/>
      <c r="C271" s="78"/>
      <c r="D271" s="77" t="s">
        <v>626</v>
      </c>
      <c r="E271" s="77" t="s">
        <v>735</v>
      </c>
      <c r="F271" s="79" t="s">
        <v>1058</v>
      </c>
      <c r="G271" s="77"/>
      <c r="H271" s="77" t="s">
        <v>1269</v>
      </c>
      <c r="I271" s="81" t="s">
        <v>82</v>
      </c>
      <c r="J271" s="81" t="s">
        <v>781</v>
      </c>
      <c r="K271" s="82"/>
      <c r="L271" s="85">
        <v>822000</v>
      </c>
      <c r="M271" s="80" t="str">
        <f>VLOOKUP(I271,SDDK!$C$6:$D$200,2,0)</f>
        <v>Chi phí quản lý doanh nghiệp</v>
      </c>
      <c r="N271" s="80" t="str">
        <f>VLOOKUP(J271,SDDK!$C$6:$D$200,2,0)</f>
        <v>Bảo hiễm thất nghiệp</v>
      </c>
    </row>
    <row r="272" spans="1:14" ht="12.75">
      <c r="A272" s="76" t="str">
        <f t="shared" si="5"/>
        <v>30/10/2020</v>
      </c>
      <c r="B272" s="77"/>
      <c r="C272" s="78"/>
      <c r="D272" s="77" t="s">
        <v>626</v>
      </c>
      <c r="E272" s="77" t="s">
        <v>735</v>
      </c>
      <c r="F272" s="79" t="s">
        <v>1058</v>
      </c>
      <c r="G272" s="77"/>
      <c r="H272" s="77" t="s">
        <v>1270</v>
      </c>
      <c r="I272" s="81" t="s">
        <v>780</v>
      </c>
      <c r="J272" s="81" t="s">
        <v>168</v>
      </c>
      <c r="K272" s="82"/>
      <c r="L272" s="85">
        <v>23264000</v>
      </c>
      <c r="M272" s="80" t="str">
        <f>VLOOKUP(I272,SDDK!$C$6:$D$200,2,0)</f>
        <v>Phải trả công nhân viên</v>
      </c>
      <c r="N272" s="80" t="str">
        <f>VLOOKUP(J272,SDDK!$C$6:$D$200,2,0)</f>
        <v>Bảo hiễm xã hội</v>
      </c>
    </row>
    <row r="273" spans="1:14" ht="12.75">
      <c r="A273" s="76" t="str">
        <f t="shared" si="5"/>
        <v>30/10/2020</v>
      </c>
      <c r="B273" s="77"/>
      <c r="C273" s="78"/>
      <c r="D273" s="77" t="s">
        <v>626</v>
      </c>
      <c r="E273" s="77" t="s">
        <v>735</v>
      </c>
      <c r="F273" s="79" t="s">
        <v>1058</v>
      </c>
      <c r="G273" s="77"/>
      <c r="H273" s="139" t="s">
        <v>1271</v>
      </c>
      <c r="I273" s="86" t="s">
        <v>780</v>
      </c>
      <c r="J273" s="86" t="s">
        <v>170</v>
      </c>
      <c r="K273" s="85"/>
      <c r="L273" s="85">
        <v>4362000</v>
      </c>
      <c r="M273" s="80" t="str">
        <f>VLOOKUP(I273,SDDK!$C$6:$D$200,2,0)</f>
        <v>Phải trả công nhân viên</v>
      </c>
      <c r="N273" s="80" t="str">
        <f>VLOOKUP(J273,SDDK!$C$6:$D$200,2,0)</f>
        <v>Bảo hiễm y tế</v>
      </c>
    </row>
    <row r="274" spans="1:14" ht="12.75">
      <c r="A274" s="76" t="str">
        <f t="shared" si="5"/>
        <v>30/10/2020</v>
      </c>
      <c r="B274" s="77"/>
      <c r="C274" s="78"/>
      <c r="D274" s="77" t="s">
        <v>626</v>
      </c>
      <c r="E274" s="77" t="s">
        <v>735</v>
      </c>
      <c r="F274" s="79" t="s">
        <v>1058</v>
      </c>
      <c r="G274" s="77"/>
      <c r="H274" s="139" t="s">
        <v>1272</v>
      </c>
      <c r="I274" s="86" t="s">
        <v>780</v>
      </c>
      <c r="J274" s="86" t="s">
        <v>781</v>
      </c>
      <c r="K274" s="85"/>
      <c r="L274" s="85">
        <v>2908000</v>
      </c>
      <c r="M274" s="80" t="str">
        <f>VLOOKUP(I274,SDDK!$C$6:$D$200,2,0)</f>
        <v>Phải trả công nhân viên</v>
      </c>
      <c r="N274" s="80" t="str">
        <f>VLOOKUP(J274,SDDK!$C$6:$D$200,2,0)</f>
        <v>Bảo hiễm thất nghiệp</v>
      </c>
    </row>
    <row r="275" spans="1:14" ht="12.75">
      <c r="A275" s="76" t="str">
        <f t="shared" si="5"/>
        <v>30/10/2020</v>
      </c>
      <c r="B275" s="77"/>
      <c r="C275" s="78"/>
      <c r="D275" s="77" t="s">
        <v>1011</v>
      </c>
      <c r="E275" s="77" t="s">
        <v>747</v>
      </c>
      <c r="F275" s="79" t="s">
        <v>1058</v>
      </c>
      <c r="G275" s="77"/>
      <c r="H275" s="139" t="s">
        <v>1273</v>
      </c>
      <c r="I275" s="86" t="s">
        <v>780</v>
      </c>
      <c r="J275" s="86" t="s">
        <v>486</v>
      </c>
      <c r="K275" s="85"/>
      <c r="L275" s="85">
        <v>4942253.703703703</v>
      </c>
      <c r="M275" s="80" t="str">
        <f>VLOOKUP(I275,SDDK!$C$6:$D$200,2,0)</f>
        <v>Phải trả công nhân viên</v>
      </c>
      <c r="N275" s="80" t="str">
        <f>VLOOKUP(J275,SDDK!$C$6:$D$200,2,0)</f>
        <v>Thuế thu nhập cá nhân</v>
      </c>
    </row>
    <row r="276" spans="1:14" s="92" customFormat="1" ht="12.75">
      <c r="A276" s="87" t="str">
        <f t="shared" si="5"/>
        <v>30/10/2020</v>
      </c>
      <c r="B276" s="88"/>
      <c r="C276" s="89"/>
      <c r="D276" s="88" t="s">
        <v>627</v>
      </c>
      <c r="E276" s="88" t="s">
        <v>748</v>
      </c>
      <c r="F276" s="79" t="s">
        <v>1058</v>
      </c>
      <c r="G276" s="88"/>
      <c r="H276" s="140" t="s">
        <v>1274</v>
      </c>
      <c r="I276" s="90" t="s">
        <v>46</v>
      </c>
      <c r="J276" s="90" t="s">
        <v>441</v>
      </c>
      <c r="K276" s="91"/>
      <c r="L276" s="91">
        <v>16223387</v>
      </c>
      <c r="M276" s="80" t="str">
        <f>VLOOKUP(I276,SDDK!$C$6:$D$200,2,0)</f>
        <v>Chi phí khấu hao PX1</v>
      </c>
      <c r="N276" s="80" t="str">
        <f>VLOOKUP(J276,SDDK!$C$6:$D$200,2,0)</f>
        <v>Hao mòn TSCĐ hữu hình lũy kế (*)</v>
      </c>
    </row>
    <row r="277" spans="1:14" ht="12.75">
      <c r="A277" s="76" t="str">
        <f t="shared" si="5"/>
        <v>30/10/2020</v>
      </c>
      <c r="B277" s="77"/>
      <c r="C277" s="78"/>
      <c r="D277" s="88" t="s">
        <v>627</v>
      </c>
      <c r="E277" s="77" t="s">
        <v>748</v>
      </c>
      <c r="F277" s="79" t="s">
        <v>1058</v>
      </c>
      <c r="G277" s="77"/>
      <c r="H277" s="139" t="s">
        <v>1274</v>
      </c>
      <c r="I277" s="86" t="s">
        <v>48</v>
      </c>
      <c r="J277" s="86" t="s">
        <v>441</v>
      </c>
      <c r="K277" s="85"/>
      <c r="L277" s="91">
        <v>11500000</v>
      </c>
      <c r="M277" s="80" t="str">
        <f>VLOOKUP(I277,SDDK!$C$6:$D$200,2,0)</f>
        <v>Chi phí khấu hao PX2</v>
      </c>
      <c r="N277" s="80" t="str">
        <f>VLOOKUP(J277,SDDK!$C$6:$D$200,2,0)</f>
        <v>Hao mòn TSCĐ hữu hình lũy kế (*)</v>
      </c>
    </row>
    <row r="278" spans="1:14" ht="12.75">
      <c r="A278" s="76" t="str">
        <f t="shared" si="5"/>
        <v>30/10/2020</v>
      </c>
      <c r="B278" s="77"/>
      <c r="C278" s="78"/>
      <c r="D278" s="88" t="s">
        <v>627</v>
      </c>
      <c r="E278" s="77" t="s">
        <v>748</v>
      </c>
      <c r="F278" s="79" t="s">
        <v>1058</v>
      </c>
      <c r="G278" s="77"/>
      <c r="H278" s="139" t="s">
        <v>1274</v>
      </c>
      <c r="I278" s="86" t="s">
        <v>74</v>
      </c>
      <c r="J278" s="86" t="s">
        <v>441</v>
      </c>
      <c r="K278" s="85"/>
      <c r="L278" s="91">
        <v>2500000</v>
      </c>
      <c r="M278" s="80" t="str">
        <f>VLOOKUP(I278,SDDK!$C$6:$D$200,2,0)</f>
        <v>Chi phí khấu hao TSCĐ bán hàng</v>
      </c>
      <c r="N278" s="80" t="str">
        <f>VLOOKUP(J278,SDDK!$C$6:$D$200,2,0)</f>
        <v>Hao mòn TSCĐ hữu hình lũy kế (*)</v>
      </c>
    </row>
    <row r="279" spans="1:14" ht="12.75">
      <c r="A279" s="76" t="str">
        <f t="shared" si="5"/>
        <v>30/10/2020</v>
      </c>
      <c r="B279" s="77"/>
      <c r="C279" s="78"/>
      <c r="D279" s="88" t="s">
        <v>627</v>
      </c>
      <c r="E279" s="77" t="s">
        <v>748</v>
      </c>
      <c r="F279" s="79" t="s">
        <v>1058</v>
      </c>
      <c r="G279" s="77"/>
      <c r="H279" s="139" t="s">
        <v>1274</v>
      </c>
      <c r="I279" s="86" t="s">
        <v>88</v>
      </c>
      <c r="J279" s="86" t="s">
        <v>441</v>
      </c>
      <c r="K279" s="85"/>
      <c r="L279" s="91">
        <v>7868299.666666667</v>
      </c>
      <c r="M279" s="80" t="str">
        <f>VLOOKUP(I279,SDDK!$C$6:$D$200,2,0)</f>
        <v>Chi phí khấu Hao TSCĐ quản lý doanh nghiệp</v>
      </c>
      <c r="N279" s="80" t="str">
        <f>VLOOKUP(J279,SDDK!$C$6:$D$200,2,0)</f>
        <v>Hao mòn TSCĐ hữu hình lũy kế (*)</v>
      </c>
    </row>
    <row r="280" spans="1:14" ht="12.75">
      <c r="A280" s="76" t="str">
        <f t="shared" si="5"/>
        <v>30/10/2020</v>
      </c>
      <c r="B280" s="77"/>
      <c r="C280" s="78"/>
      <c r="D280" s="88" t="s">
        <v>627</v>
      </c>
      <c r="E280" s="77" t="s">
        <v>748</v>
      </c>
      <c r="F280" s="79" t="s">
        <v>1058</v>
      </c>
      <c r="G280" s="77"/>
      <c r="H280" s="139" t="s">
        <v>1274</v>
      </c>
      <c r="I280" s="90" t="s">
        <v>46</v>
      </c>
      <c r="J280" s="86" t="s">
        <v>443</v>
      </c>
      <c r="K280" s="85"/>
      <c r="L280" s="91">
        <v>4166666.6666666665</v>
      </c>
      <c r="M280" s="80" t="str">
        <f>VLOOKUP(I280,SDDK!$C$6:$D$200,2,0)</f>
        <v>Chi phí khấu hao PX1</v>
      </c>
      <c r="N280" s="80" t="str">
        <f>VLOOKUP(J280,SDDK!$C$6:$D$200,2,0)</f>
        <v>Hao mòn TSCĐ thuê tài chính lũy kế (*)</v>
      </c>
    </row>
    <row r="281" spans="1:14" ht="12.75">
      <c r="A281" s="76" t="str">
        <f t="shared" si="5"/>
        <v>30/10/2020</v>
      </c>
      <c r="B281" s="77"/>
      <c r="C281" s="78"/>
      <c r="D281" s="88" t="s">
        <v>627</v>
      </c>
      <c r="E281" s="77" t="s">
        <v>748</v>
      </c>
      <c r="F281" s="79" t="s">
        <v>1058</v>
      </c>
      <c r="G281" s="77"/>
      <c r="H281" s="139" t="s">
        <v>1274</v>
      </c>
      <c r="I281" s="86" t="s">
        <v>74</v>
      </c>
      <c r="J281" s="86" t="s">
        <v>445</v>
      </c>
      <c r="K281" s="85"/>
      <c r="L281" s="91">
        <v>6895161</v>
      </c>
      <c r="M281" s="80" t="str">
        <f>VLOOKUP(I281,SDDK!$C$6:$D$200,2,0)</f>
        <v>Chi phí khấu hao TSCĐ bán hàng</v>
      </c>
      <c r="N281" s="80" t="str">
        <f>VLOOKUP(J281,SDDK!$C$6:$D$200,2,0)</f>
        <v>Hao mòn TSCĐ vô hình lũy kế (*)</v>
      </c>
    </row>
    <row r="282" spans="1:14" ht="12.75">
      <c r="A282" s="76" t="str">
        <f t="shared" si="5"/>
        <v>30/10/2020</v>
      </c>
      <c r="B282" s="77"/>
      <c r="C282" s="78"/>
      <c r="D282" s="77" t="s">
        <v>628</v>
      </c>
      <c r="E282" s="77" t="s">
        <v>716</v>
      </c>
      <c r="F282" s="79" t="s">
        <v>1058</v>
      </c>
      <c r="G282" s="77"/>
      <c r="H282" s="139" t="s">
        <v>1275</v>
      </c>
      <c r="I282" s="86" t="s">
        <v>851</v>
      </c>
      <c r="J282" s="86" t="s">
        <v>773</v>
      </c>
      <c r="K282" s="85"/>
      <c r="L282" s="85">
        <v>30000000</v>
      </c>
      <c r="M282" s="80" t="str">
        <f>VLOOKUP(I282,SDDK!$C$6:$D$200,2,0)</f>
        <v>Chi phí trả trước ngắn hạn - SC TSCĐ</v>
      </c>
      <c r="N282" s="80" t="str">
        <f>VLOOKUP(J282,SDDK!$C$6:$D$200,2,0)</f>
        <v>Xây dựng cơ bản dở dang</v>
      </c>
    </row>
    <row r="283" spans="1:14" ht="12.75">
      <c r="A283" s="76" t="str">
        <f t="shared" si="5"/>
        <v>30/10/2020</v>
      </c>
      <c r="B283" s="77"/>
      <c r="C283" s="78"/>
      <c r="D283" s="77" t="s">
        <v>629</v>
      </c>
      <c r="E283" s="77" t="s">
        <v>749</v>
      </c>
      <c r="F283" s="79" t="s">
        <v>1058</v>
      </c>
      <c r="G283" s="77"/>
      <c r="H283" s="139" t="s">
        <v>1276</v>
      </c>
      <c r="I283" s="86" t="s">
        <v>52</v>
      </c>
      <c r="J283" s="86" t="s">
        <v>851</v>
      </c>
      <c r="K283" s="85"/>
      <c r="L283" s="93">
        <v>5000000</v>
      </c>
      <c r="M283" s="80" t="str">
        <f>VLOOKUP(I283,SDDK!$C$6:$D$200,2,0)</f>
        <v>Chi phí dịch vụ mua ngoài PX2</v>
      </c>
      <c r="N283" s="80" t="str">
        <f>VLOOKUP(J283,SDDK!$C$6:$D$200,2,0)</f>
        <v>Chi phí trả trước ngắn hạn - SC TSCĐ</v>
      </c>
    </row>
    <row r="284" spans="1:14" ht="12.75">
      <c r="A284" s="76" t="str">
        <f t="shared" si="5"/>
        <v>30/10/2020</v>
      </c>
      <c r="B284" s="77"/>
      <c r="C284" s="78"/>
      <c r="D284" s="77" t="s">
        <v>629</v>
      </c>
      <c r="E284" s="77" t="s">
        <v>749</v>
      </c>
      <c r="F284" s="79" t="s">
        <v>1058</v>
      </c>
      <c r="G284" s="77"/>
      <c r="H284" s="139" t="s">
        <v>1277</v>
      </c>
      <c r="I284" s="86" t="s">
        <v>42</v>
      </c>
      <c r="J284" s="86" t="s">
        <v>1006</v>
      </c>
      <c r="K284" s="85"/>
      <c r="L284" s="93">
        <v>2500000</v>
      </c>
      <c r="M284" s="80" t="str">
        <f>VLOOKUP(I284,SDDK!$C$6:$D$200,2,0)</f>
        <v>Chi phí dụng cụ sản xuất PX1</v>
      </c>
      <c r="N284" s="80" t="str">
        <f>VLOOKUP(J284,SDDK!$C$6:$D$200,2,0)</f>
        <v>Chi phí trả trước ngắn hạn - CCDC</v>
      </c>
    </row>
    <row r="285" spans="1:14" ht="12.75">
      <c r="A285" s="76" t="str">
        <f t="shared" si="5"/>
        <v>31/10/2020</v>
      </c>
      <c r="B285" s="78"/>
      <c r="C285" s="78"/>
      <c r="D285" s="77" t="s">
        <v>630</v>
      </c>
      <c r="E285" s="77" t="s">
        <v>716</v>
      </c>
      <c r="F285" s="79" t="s">
        <v>1060</v>
      </c>
      <c r="G285" s="77"/>
      <c r="H285" s="77" t="s">
        <v>1278</v>
      </c>
      <c r="I285" s="81" t="s">
        <v>60</v>
      </c>
      <c r="J285" s="81" t="s">
        <v>36</v>
      </c>
      <c r="K285" s="82"/>
      <c r="L285" s="85">
        <v>24407500</v>
      </c>
      <c r="M285" s="80" t="str">
        <f>VLOOKUP(I285,SDDK!$C$6:$D$200,2,0)</f>
        <v>Tổng chi phí phân xưởng 2 phải phân bổ</v>
      </c>
      <c r="N285" s="80" t="str">
        <f>VLOOKUP(J285,SDDK!$C$6:$D$200,2,0)</f>
        <v>Chi phí nhân viên PX2</v>
      </c>
    </row>
    <row r="286" spans="1:14" ht="12.75">
      <c r="A286" s="76" t="str">
        <f t="shared" si="5"/>
        <v>31/10/2020</v>
      </c>
      <c r="B286" s="78"/>
      <c r="C286" s="78"/>
      <c r="D286" s="77" t="s">
        <v>630</v>
      </c>
      <c r="E286" s="77" t="s">
        <v>716</v>
      </c>
      <c r="F286" s="79" t="s">
        <v>1060</v>
      </c>
      <c r="G286" s="77"/>
      <c r="H286" s="77" t="s">
        <v>1278</v>
      </c>
      <c r="I286" s="81" t="s">
        <v>60</v>
      </c>
      <c r="J286" s="81" t="s">
        <v>40</v>
      </c>
      <c r="K286" s="82"/>
      <c r="L286" s="85">
        <v>56231869</v>
      </c>
      <c r="M286" s="80" t="str">
        <f>VLOOKUP(I286,SDDK!$C$6:$D$200,2,0)</f>
        <v>Tổng chi phí phân xưởng 2 phải phân bổ</v>
      </c>
      <c r="N286" s="80" t="str">
        <f>VLOOKUP(J286,SDDK!$C$6:$D$200,2,0)</f>
        <v>Chi phí nguyên vật liệu  PX2</v>
      </c>
    </row>
    <row r="287" spans="1:14" ht="12.75">
      <c r="A287" s="76" t="str">
        <f t="shared" si="5"/>
        <v>31/10/2020</v>
      </c>
      <c r="B287" s="78"/>
      <c r="C287" s="78"/>
      <c r="D287" s="77" t="s">
        <v>630</v>
      </c>
      <c r="E287" s="77" t="s">
        <v>716</v>
      </c>
      <c r="F287" s="79" t="s">
        <v>1060</v>
      </c>
      <c r="G287" s="77"/>
      <c r="H287" s="77" t="s">
        <v>1278</v>
      </c>
      <c r="I287" s="81" t="s">
        <v>60</v>
      </c>
      <c r="J287" s="81" t="s">
        <v>44</v>
      </c>
      <c r="K287" s="82"/>
      <c r="L287" s="85">
        <v>2082500</v>
      </c>
      <c r="M287" s="80" t="str">
        <f>VLOOKUP(I287,SDDK!$C$6:$D$200,2,0)</f>
        <v>Tổng chi phí phân xưởng 2 phải phân bổ</v>
      </c>
      <c r="N287" s="80" t="str">
        <f>VLOOKUP(J287,SDDK!$C$6:$D$200,2,0)</f>
        <v>Chi phí dụng cụ sản xuất PX2</v>
      </c>
    </row>
    <row r="288" spans="1:14" ht="12.75">
      <c r="A288" s="76" t="str">
        <f t="shared" si="5"/>
        <v>31/10/2020</v>
      </c>
      <c r="B288" s="78"/>
      <c r="C288" s="78"/>
      <c r="D288" s="77" t="s">
        <v>630</v>
      </c>
      <c r="E288" s="77" t="s">
        <v>716</v>
      </c>
      <c r="F288" s="79" t="s">
        <v>1060</v>
      </c>
      <c r="G288" s="77"/>
      <c r="H288" s="77" t="s">
        <v>1278</v>
      </c>
      <c r="I288" s="81" t="s">
        <v>60</v>
      </c>
      <c r="J288" s="81" t="s">
        <v>48</v>
      </c>
      <c r="K288" s="82"/>
      <c r="L288" s="85">
        <v>11500000</v>
      </c>
      <c r="M288" s="80" t="str">
        <f>VLOOKUP(I288,SDDK!$C$6:$D$200,2,0)</f>
        <v>Tổng chi phí phân xưởng 2 phải phân bổ</v>
      </c>
      <c r="N288" s="80" t="str">
        <f>VLOOKUP(J288,SDDK!$C$6:$D$200,2,0)</f>
        <v>Chi phí khấu hao PX2</v>
      </c>
    </row>
    <row r="289" spans="1:14" ht="12.75">
      <c r="A289" s="76" t="str">
        <f>F289</f>
        <v>31/10/2020</v>
      </c>
      <c r="B289" s="78"/>
      <c r="C289" s="78"/>
      <c r="D289" s="77" t="s">
        <v>630</v>
      </c>
      <c r="E289" s="77" t="s">
        <v>716</v>
      </c>
      <c r="F289" s="79" t="s">
        <v>1060</v>
      </c>
      <c r="G289" s="77"/>
      <c r="H289" s="77" t="s">
        <v>1278</v>
      </c>
      <c r="I289" s="81" t="s">
        <v>60</v>
      </c>
      <c r="J289" s="81" t="s">
        <v>52</v>
      </c>
      <c r="K289" s="82"/>
      <c r="L289" s="85">
        <v>5000000</v>
      </c>
      <c r="M289" s="80" t="str">
        <f>VLOOKUP(I289,SDDK!$C$6:$D$200,2,0)</f>
        <v>Tổng chi phí phân xưởng 2 phải phân bổ</v>
      </c>
      <c r="N289" s="80" t="str">
        <f>VLOOKUP(J289,SDDK!$C$6:$D$200,2,0)</f>
        <v>Chi phí dịch vụ mua ngoài PX2</v>
      </c>
    </row>
    <row r="290" spans="1:14" ht="12.75">
      <c r="A290" s="76" t="str">
        <f t="shared" si="5"/>
        <v>31/10/2020</v>
      </c>
      <c r="B290" s="78"/>
      <c r="C290" s="78"/>
      <c r="D290" s="77" t="s">
        <v>631</v>
      </c>
      <c r="E290" s="77" t="s">
        <v>716</v>
      </c>
      <c r="F290" s="79" t="s">
        <v>1060</v>
      </c>
      <c r="G290" s="77"/>
      <c r="H290" s="77" t="s">
        <v>1279</v>
      </c>
      <c r="I290" s="81" t="s">
        <v>431</v>
      </c>
      <c r="J290" s="81" t="s">
        <v>29</v>
      </c>
      <c r="K290" s="82"/>
      <c r="L290" s="85">
        <v>56570100</v>
      </c>
      <c r="M290" s="80" t="str">
        <f>VLOOKUP(I290,SDDK!$C$6:$D$200,2,0)</f>
        <v>Điện thắp sáng</v>
      </c>
      <c r="N290" s="80" t="str">
        <f>VLOOKUP(J290,SDDK!$C$6:$D$200,2,0)</f>
        <v>Chi phí NVL trực tiếp cho Dịch vụ sửa chữa</v>
      </c>
    </row>
    <row r="291" spans="1:14" ht="12.75">
      <c r="A291" s="76" t="str">
        <f t="shared" si="5"/>
        <v>31/10/2020</v>
      </c>
      <c r="B291" s="78"/>
      <c r="C291" s="78"/>
      <c r="D291" s="77" t="s">
        <v>631</v>
      </c>
      <c r="E291" s="77" t="s">
        <v>716</v>
      </c>
      <c r="F291" s="79" t="s">
        <v>1060</v>
      </c>
      <c r="G291" s="77"/>
      <c r="H291" s="77" t="s">
        <v>1279</v>
      </c>
      <c r="I291" s="81" t="s">
        <v>431</v>
      </c>
      <c r="J291" s="81" t="s">
        <v>33</v>
      </c>
      <c r="K291" s="82"/>
      <c r="L291" s="85">
        <v>32871166.666666664</v>
      </c>
      <c r="M291" s="80" t="str">
        <f>VLOOKUP(I291,SDDK!$C$6:$D$200,2,0)</f>
        <v>Điện thắp sáng</v>
      </c>
      <c r="N291" s="80" t="str">
        <f>VLOOKUP(J291,SDDK!$C$6:$D$200,2,0)</f>
        <v>Chi phí NC trực tiếp cho Dịch vụ sửa chữa</v>
      </c>
    </row>
    <row r="292" spans="1:14" ht="12.75">
      <c r="A292" s="76" t="str">
        <f t="shared" si="5"/>
        <v>31/10/2020</v>
      </c>
      <c r="B292" s="78"/>
      <c r="C292" s="78"/>
      <c r="D292" s="77" t="s">
        <v>631</v>
      </c>
      <c r="E292" s="77" t="s">
        <v>716</v>
      </c>
      <c r="F292" s="79" t="s">
        <v>1060</v>
      </c>
      <c r="G292" s="77"/>
      <c r="H292" s="77" t="s">
        <v>1279</v>
      </c>
      <c r="I292" s="81" t="s">
        <v>431</v>
      </c>
      <c r="J292" s="81" t="s">
        <v>60</v>
      </c>
      <c r="K292" s="82"/>
      <c r="L292" s="85">
        <v>99221869</v>
      </c>
      <c r="M292" s="80" t="str">
        <f>VLOOKUP(I292,SDDK!$C$6:$D$200,2,0)</f>
        <v>Điện thắp sáng</v>
      </c>
      <c r="N292" s="80" t="str">
        <f>VLOOKUP(J292,SDDK!$C$6:$D$200,2,0)</f>
        <v>Tổng chi phí phân xưởng 2 phải phân bổ</v>
      </c>
    </row>
    <row r="293" spans="1:14" ht="12.75">
      <c r="A293" s="76" t="str">
        <f t="shared" si="5"/>
        <v>31/10/2020</v>
      </c>
      <c r="B293" s="78"/>
      <c r="C293" s="78"/>
      <c r="D293" s="77" t="s">
        <v>632</v>
      </c>
      <c r="E293" s="77" t="s">
        <v>717</v>
      </c>
      <c r="F293" s="79" t="s">
        <v>1060</v>
      </c>
      <c r="G293" s="77"/>
      <c r="H293" s="77" t="s">
        <v>1280</v>
      </c>
      <c r="I293" s="81" t="s">
        <v>50</v>
      </c>
      <c r="J293" s="81" t="s">
        <v>431</v>
      </c>
      <c r="K293" s="82"/>
      <c r="L293" s="85">
        <v>141497351.75</v>
      </c>
      <c r="M293" s="80" t="str">
        <f>VLOOKUP(I293,SDDK!$C$6:$D$200,2,0)</f>
        <v>Chi phí dịch vụ mua ngoài PX1</v>
      </c>
      <c r="N293" s="80" t="str">
        <f>VLOOKUP(J293,SDDK!$C$6:$D$200,2,0)</f>
        <v>Điện thắp sáng</v>
      </c>
    </row>
    <row r="294" spans="1:14" ht="12.75">
      <c r="A294" s="76" t="str">
        <f t="shared" si="5"/>
        <v>31/10/2020</v>
      </c>
      <c r="B294" s="78"/>
      <c r="C294" s="78"/>
      <c r="D294" s="77" t="s">
        <v>632</v>
      </c>
      <c r="E294" s="77" t="s">
        <v>717</v>
      </c>
      <c r="F294" s="79" t="s">
        <v>1060</v>
      </c>
      <c r="G294" s="77"/>
      <c r="H294" s="77" t="s">
        <v>1281</v>
      </c>
      <c r="I294" s="81" t="s">
        <v>94</v>
      </c>
      <c r="J294" s="81" t="s">
        <v>431</v>
      </c>
      <c r="K294" s="82"/>
      <c r="L294" s="85">
        <v>47165783.916666664</v>
      </c>
      <c r="M294" s="80" t="str">
        <f>VLOOKUP(I294,SDDK!$C$6:$D$200,2,0)</f>
        <v>Chi phí dịch vụ quản lý doanh nghiệp</v>
      </c>
      <c r="N294" s="80" t="str">
        <f>VLOOKUP(J294,SDDK!$C$6:$D$200,2,0)</f>
        <v>Điện thắp sáng</v>
      </c>
    </row>
    <row r="295" spans="1:14" ht="12.75">
      <c r="A295" s="76" t="str">
        <f t="shared" si="5"/>
        <v>31/10/2020</v>
      </c>
      <c r="B295" s="78"/>
      <c r="C295" s="78"/>
      <c r="D295" s="77" t="s">
        <v>633</v>
      </c>
      <c r="E295" s="77" t="s">
        <v>716</v>
      </c>
      <c r="F295" s="79" t="s">
        <v>1060</v>
      </c>
      <c r="G295" s="77"/>
      <c r="H295" s="77" t="s">
        <v>1282</v>
      </c>
      <c r="I295" s="81" t="s">
        <v>58</v>
      </c>
      <c r="J295" s="81" t="s">
        <v>34</v>
      </c>
      <c r="K295" s="82"/>
      <c r="L295" s="85">
        <v>25678000</v>
      </c>
      <c r="M295" s="80" t="str">
        <f>VLOOKUP(I295,SDDK!$C$6:$D$200,2,0)</f>
        <v>Tổng chi phí phân xưởng 1 phải phân bổ</v>
      </c>
      <c r="N295" s="80" t="str">
        <f>VLOOKUP(J295,SDDK!$C$6:$D$200,2,0)</f>
        <v>Chi phí nhân viên PX1</v>
      </c>
    </row>
    <row r="296" spans="1:14" ht="12.75">
      <c r="A296" s="76" t="str">
        <f t="shared" si="5"/>
        <v>31/10/2020</v>
      </c>
      <c r="B296" s="78"/>
      <c r="C296" s="78"/>
      <c r="D296" s="77" t="s">
        <v>633</v>
      </c>
      <c r="E296" s="77" t="s">
        <v>716</v>
      </c>
      <c r="F296" s="79" t="s">
        <v>1060</v>
      </c>
      <c r="G296" s="77"/>
      <c r="H296" s="77" t="s">
        <v>1282</v>
      </c>
      <c r="I296" s="81" t="s">
        <v>58</v>
      </c>
      <c r="J296" s="81" t="s">
        <v>38</v>
      </c>
      <c r="K296" s="82"/>
      <c r="L296" s="85">
        <v>32372114</v>
      </c>
      <c r="M296" s="80" t="str">
        <f>VLOOKUP(I296,SDDK!$C$6:$D$200,2,0)</f>
        <v>Tổng chi phí phân xưởng 1 phải phân bổ</v>
      </c>
      <c r="N296" s="80" t="str">
        <f>VLOOKUP(J296,SDDK!$C$6:$D$200,2,0)</f>
        <v>Chi phí nguyên vật liệu  PX1</v>
      </c>
    </row>
    <row r="297" spans="1:14" ht="12.75">
      <c r="A297" s="76" t="str">
        <f t="shared" si="5"/>
        <v>31/10/2020</v>
      </c>
      <c r="B297" s="78"/>
      <c r="C297" s="78"/>
      <c r="D297" s="77" t="s">
        <v>633</v>
      </c>
      <c r="E297" s="77" t="s">
        <v>716</v>
      </c>
      <c r="F297" s="79" t="s">
        <v>1060</v>
      </c>
      <c r="G297" s="77"/>
      <c r="H297" s="77" t="s">
        <v>1282</v>
      </c>
      <c r="I297" s="81" t="s">
        <v>58</v>
      </c>
      <c r="J297" s="81" t="s">
        <v>42</v>
      </c>
      <c r="K297" s="83"/>
      <c r="L297" s="85">
        <v>2500000</v>
      </c>
      <c r="M297" s="80" t="str">
        <f>VLOOKUP(I297,SDDK!$C$6:$D$200,2,0)</f>
        <v>Tổng chi phí phân xưởng 1 phải phân bổ</v>
      </c>
      <c r="N297" s="80" t="str">
        <f>VLOOKUP(J297,SDDK!$C$6:$D$200,2,0)</f>
        <v>Chi phí dụng cụ sản xuất PX1</v>
      </c>
    </row>
    <row r="298" spans="1:14" ht="12.75">
      <c r="A298" s="76" t="str">
        <f t="shared" si="5"/>
        <v>31/10/2020</v>
      </c>
      <c r="B298" s="78"/>
      <c r="C298" s="78"/>
      <c r="D298" s="77" t="s">
        <v>633</v>
      </c>
      <c r="E298" s="77" t="s">
        <v>716</v>
      </c>
      <c r="F298" s="79" t="s">
        <v>1060</v>
      </c>
      <c r="G298" s="77"/>
      <c r="H298" s="77" t="s">
        <v>1282</v>
      </c>
      <c r="I298" s="81" t="s">
        <v>58</v>
      </c>
      <c r="J298" s="81" t="s">
        <v>46</v>
      </c>
      <c r="K298" s="82"/>
      <c r="L298" s="85">
        <v>20390053.666666668</v>
      </c>
      <c r="M298" s="80" t="str">
        <f>VLOOKUP(I298,SDDK!$C$6:$D$200,2,0)</f>
        <v>Tổng chi phí phân xưởng 1 phải phân bổ</v>
      </c>
      <c r="N298" s="80" t="str">
        <f>VLOOKUP(J298,SDDK!$C$6:$D$200,2,0)</f>
        <v>Chi phí khấu hao PX1</v>
      </c>
    </row>
    <row r="299" spans="1:14" ht="12.75">
      <c r="A299" s="76" t="str">
        <f t="shared" si="5"/>
        <v>31/10/2020</v>
      </c>
      <c r="B299" s="78"/>
      <c r="C299" s="78"/>
      <c r="D299" s="77" t="s">
        <v>633</v>
      </c>
      <c r="E299" s="77" t="s">
        <v>716</v>
      </c>
      <c r="F299" s="79" t="s">
        <v>1060</v>
      </c>
      <c r="G299" s="77"/>
      <c r="H299" s="77" t="s">
        <v>1282</v>
      </c>
      <c r="I299" s="81" t="s">
        <v>58</v>
      </c>
      <c r="J299" s="81" t="s">
        <v>50</v>
      </c>
      <c r="K299" s="82"/>
      <c r="L299" s="85">
        <v>142697351.75</v>
      </c>
      <c r="M299" s="80" t="str">
        <f>VLOOKUP(I299,SDDK!$C$6:$D$200,2,0)</f>
        <v>Tổng chi phí phân xưởng 1 phải phân bổ</v>
      </c>
      <c r="N299" s="80" t="str">
        <f>VLOOKUP(J299,SDDK!$C$6:$D$200,2,0)</f>
        <v>Chi phí dịch vụ mua ngoài PX1</v>
      </c>
    </row>
    <row r="300" spans="1:14" ht="25.5">
      <c r="A300" s="76" t="str">
        <f t="shared" si="5"/>
        <v>31/10/2020</v>
      </c>
      <c r="B300" s="78"/>
      <c r="C300" s="77" t="s">
        <v>291</v>
      </c>
      <c r="D300" s="77"/>
      <c r="E300" s="77" t="s">
        <v>718</v>
      </c>
      <c r="F300" s="79" t="s">
        <v>1060</v>
      </c>
      <c r="G300" s="77" t="s">
        <v>649</v>
      </c>
      <c r="H300" s="141" t="s">
        <v>1283</v>
      </c>
      <c r="I300" s="83" t="s">
        <v>423</v>
      </c>
      <c r="J300" s="81" t="s">
        <v>26</v>
      </c>
      <c r="K300" s="82">
        <v>45</v>
      </c>
      <c r="L300" s="93">
        <v>836325</v>
      </c>
      <c r="M300" s="80" t="str">
        <f>VLOOKUP(I300,SDDK!$C$6:$D$200,2,0)</f>
        <v>Sợi thun coton thô</v>
      </c>
      <c r="N300" s="80" t="str">
        <f>VLOOKUP(J300,SDDK!$C$6:$D$200,2,0)</f>
        <v>Chi phí NVL trực tiếp cho Vải thun coton</v>
      </c>
    </row>
    <row r="301" spans="1:14" ht="12.75">
      <c r="A301" s="76" t="str">
        <f t="shared" si="5"/>
        <v>31/10/2020</v>
      </c>
      <c r="B301" s="78"/>
      <c r="C301" s="78"/>
      <c r="D301" s="77" t="s">
        <v>634</v>
      </c>
      <c r="E301" s="77" t="s">
        <v>716</v>
      </c>
      <c r="F301" s="79" t="s">
        <v>1060</v>
      </c>
      <c r="G301" s="77"/>
      <c r="H301" s="77" t="s">
        <v>1284</v>
      </c>
      <c r="I301" s="81" t="s">
        <v>429</v>
      </c>
      <c r="J301" s="81" t="s">
        <v>26</v>
      </c>
      <c r="K301" s="82"/>
      <c r="L301" s="85">
        <v>543572175</v>
      </c>
      <c r="M301" s="80" t="str">
        <f>VLOOKUP(I301,SDDK!$C$6:$D$200,2,0)</f>
        <v>Chi phí SXKD dở dang Vải thun coton (giá kế hoạch 4600)</v>
      </c>
      <c r="N301" s="80" t="str">
        <f>VLOOKUP(J301,SDDK!$C$6:$D$200,2,0)</f>
        <v>Chi phí NVL trực tiếp cho Vải thun coton</v>
      </c>
    </row>
    <row r="302" spans="1:14" ht="12.75">
      <c r="A302" s="76" t="str">
        <f t="shared" si="5"/>
        <v>31/10/2020</v>
      </c>
      <c r="B302" s="78"/>
      <c r="C302" s="78"/>
      <c r="D302" s="77" t="s">
        <v>634</v>
      </c>
      <c r="E302" s="77" t="s">
        <v>716</v>
      </c>
      <c r="F302" s="79" t="s">
        <v>1060</v>
      </c>
      <c r="G302" s="77"/>
      <c r="H302" s="77" t="s">
        <v>1284</v>
      </c>
      <c r="I302" s="81" t="s">
        <v>429</v>
      </c>
      <c r="J302" s="81" t="s">
        <v>30</v>
      </c>
      <c r="K302" s="82"/>
      <c r="L302" s="85">
        <v>68070166.66666666</v>
      </c>
      <c r="M302" s="80" t="str">
        <f>VLOOKUP(I302,SDDK!$C$6:$D$200,2,0)</f>
        <v>Chi phí SXKD dở dang Vải thun coton (giá kế hoạch 4600)</v>
      </c>
      <c r="N302" s="80" t="str">
        <f>VLOOKUP(J302,SDDK!$C$6:$D$200,2,0)</f>
        <v>Chi phí NC trực tiếp cho Vải thun coton</v>
      </c>
    </row>
    <row r="303" spans="1:14" ht="25.5">
      <c r="A303" s="76" t="str">
        <f t="shared" si="5"/>
        <v>31/10/2020</v>
      </c>
      <c r="B303" s="78"/>
      <c r="C303" s="77"/>
      <c r="D303" s="77" t="s">
        <v>635</v>
      </c>
      <c r="E303" s="77" t="s">
        <v>718</v>
      </c>
      <c r="F303" s="79" t="s">
        <v>1060</v>
      </c>
      <c r="G303" s="77"/>
      <c r="H303" s="141" t="s">
        <v>1285</v>
      </c>
      <c r="I303" s="81" t="s">
        <v>27</v>
      </c>
      <c r="J303" s="81" t="s">
        <v>424</v>
      </c>
      <c r="K303" s="94">
        <v>-2000</v>
      </c>
      <c r="L303" s="93">
        <v>-21302000</v>
      </c>
      <c r="M303" s="80" t="str">
        <f>VLOOKUP(I303,SDDK!$C$6:$D$200,2,0)</f>
        <v>Chi phí NVL trực tiếp cho Thảm lót chân</v>
      </c>
      <c r="N303" s="80" t="str">
        <f>VLOOKUP(J303,SDDK!$C$6:$D$200,2,0)</f>
        <v>Thuốc nhuộm màu xanh đen C02</v>
      </c>
    </row>
    <row r="304" spans="1:14" ht="12.75">
      <c r="A304" s="76" t="str">
        <f t="shared" si="5"/>
        <v>31/10/2020</v>
      </c>
      <c r="B304" s="78"/>
      <c r="C304" s="78"/>
      <c r="D304" s="77" t="s">
        <v>636</v>
      </c>
      <c r="E304" s="77" t="s">
        <v>716</v>
      </c>
      <c r="F304" s="79" t="s">
        <v>1060</v>
      </c>
      <c r="G304" s="77"/>
      <c r="H304" s="77" t="s">
        <v>1284</v>
      </c>
      <c r="I304" s="81" t="s">
        <v>430</v>
      </c>
      <c r="J304" s="81" t="s">
        <v>27</v>
      </c>
      <c r="K304" s="82"/>
      <c r="L304" s="85">
        <v>567710500</v>
      </c>
      <c r="M304" s="80" t="str">
        <f>VLOOKUP(I304,SDDK!$C$6:$D$200,2,0)</f>
        <v>Chi phí SXKD dở dang Thảm lót chân (giá kế hoạch 5500)</v>
      </c>
      <c r="N304" s="80" t="str">
        <f>VLOOKUP(J304,SDDK!$C$6:$D$200,2,0)</f>
        <v>Chi phí NVL trực tiếp cho Thảm lót chân</v>
      </c>
    </row>
    <row r="305" spans="1:14" ht="12.75">
      <c r="A305" s="76" t="str">
        <f t="shared" si="5"/>
        <v>31/10/2020</v>
      </c>
      <c r="B305" s="78"/>
      <c r="C305" s="78"/>
      <c r="D305" s="77" t="s">
        <v>636</v>
      </c>
      <c r="E305" s="77" t="s">
        <v>716</v>
      </c>
      <c r="F305" s="79" t="s">
        <v>1060</v>
      </c>
      <c r="G305" s="77"/>
      <c r="H305" s="77" t="s">
        <v>1284</v>
      </c>
      <c r="I305" s="81" t="s">
        <v>430</v>
      </c>
      <c r="J305" s="81" t="s">
        <v>31</v>
      </c>
      <c r="K305" s="82"/>
      <c r="L305" s="85">
        <v>90562444.44444445</v>
      </c>
      <c r="M305" s="80" t="str">
        <f>VLOOKUP(I305,SDDK!$C$6:$D$200,2,0)</f>
        <v>Chi phí SXKD dở dang Thảm lót chân (giá kế hoạch 5500)</v>
      </c>
      <c r="N305" s="80" t="str">
        <f>VLOOKUP(J305,SDDK!$C$6:$D$200,2,0)</f>
        <v>Chi phí NC trực tiếp cho Thảm lót chân</v>
      </c>
    </row>
    <row r="306" spans="1:14" ht="12.75">
      <c r="A306" s="76" t="str">
        <f t="shared" si="5"/>
        <v>31/10/2020</v>
      </c>
      <c r="B306" s="78"/>
      <c r="C306" s="78"/>
      <c r="D306" s="77" t="s">
        <v>637</v>
      </c>
      <c r="E306" s="77" t="s">
        <v>717</v>
      </c>
      <c r="F306" s="79" t="s">
        <v>1060</v>
      </c>
      <c r="G306" s="77"/>
      <c r="H306" s="77" t="s">
        <v>1286</v>
      </c>
      <c r="I306" s="81" t="s">
        <v>429</v>
      </c>
      <c r="J306" s="81" t="s">
        <v>58</v>
      </c>
      <c r="K306" s="82"/>
      <c r="L306" s="85">
        <v>89455007.76666668</v>
      </c>
      <c r="M306" s="80" t="str">
        <f>VLOOKUP(I306,SDDK!$C$6:$D$200,2,0)</f>
        <v>Chi phí SXKD dở dang Vải thun coton (giá kế hoạch 4600)</v>
      </c>
      <c r="N306" s="80" t="str">
        <f>VLOOKUP(J306,SDDK!$C$6:$D$200,2,0)</f>
        <v>Tổng chi phí phân xưởng 1 phải phân bổ</v>
      </c>
    </row>
    <row r="307" spans="1:14" ht="12.75">
      <c r="A307" s="76" t="str">
        <f t="shared" si="5"/>
        <v>31/10/2020</v>
      </c>
      <c r="B307" s="78"/>
      <c r="C307" s="78"/>
      <c r="D307" s="77" t="s">
        <v>637</v>
      </c>
      <c r="E307" s="77" t="s">
        <v>717</v>
      </c>
      <c r="F307" s="79" t="s">
        <v>1060</v>
      </c>
      <c r="G307" s="77"/>
      <c r="H307" s="77" t="s">
        <v>1287</v>
      </c>
      <c r="I307" s="81" t="s">
        <v>430</v>
      </c>
      <c r="J307" s="81" t="s">
        <v>58</v>
      </c>
      <c r="K307" s="82"/>
      <c r="L307" s="85">
        <v>134182511.65</v>
      </c>
      <c r="M307" s="80" t="str">
        <f>VLOOKUP(I307,SDDK!$C$6:$D$200,2,0)</f>
        <v>Chi phí SXKD dở dang Thảm lót chân (giá kế hoạch 5500)</v>
      </c>
      <c r="N307" s="80" t="str">
        <f>VLOOKUP(J307,SDDK!$C$6:$D$200,2,0)</f>
        <v>Tổng chi phí phân xưởng 1 phải phân bổ</v>
      </c>
    </row>
    <row r="308" spans="1:14" ht="12.75">
      <c r="A308" s="76" t="str">
        <f t="shared" si="5"/>
        <v>31/10/2020</v>
      </c>
      <c r="B308" s="78"/>
      <c r="C308" s="78"/>
      <c r="D308" s="77" t="s">
        <v>638</v>
      </c>
      <c r="E308" s="77" t="s">
        <v>716</v>
      </c>
      <c r="F308" s="79" t="s">
        <v>1060</v>
      </c>
      <c r="G308" s="77"/>
      <c r="H308" s="77" t="s">
        <v>1288</v>
      </c>
      <c r="I308" s="86" t="s">
        <v>15</v>
      </c>
      <c r="J308" s="86" t="s">
        <v>785</v>
      </c>
      <c r="K308" s="82"/>
      <c r="L308" s="85">
        <v>5655000</v>
      </c>
      <c r="M308" s="80" t="str">
        <f>VLOOKUP(I308,SDDK!$C$6:$D$200,2,0)</f>
        <v>Doanh thu bán thành phẩm</v>
      </c>
      <c r="N308" s="80" t="str">
        <f>VLOOKUP(J308,SDDK!$C$6:$D$200,2,0)</f>
        <v>Giảm giá hàng bán</v>
      </c>
    </row>
    <row r="309" spans="1:14" ht="12.75">
      <c r="A309" s="76" t="str">
        <f t="shared" si="5"/>
        <v>31/10/2020</v>
      </c>
      <c r="B309" s="78"/>
      <c r="C309" s="78"/>
      <c r="D309" s="77" t="s">
        <v>639</v>
      </c>
      <c r="E309" s="77" t="s">
        <v>716</v>
      </c>
      <c r="F309" s="79" t="s">
        <v>1060</v>
      </c>
      <c r="G309" s="77"/>
      <c r="H309" s="77" t="s">
        <v>1289</v>
      </c>
      <c r="I309" s="86" t="s">
        <v>15</v>
      </c>
      <c r="J309" s="86" t="s">
        <v>102</v>
      </c>
      <c r="K309" s="82"/>
      <c r="L309" s="85">
        <v>1016455000</v>
      </c>
      <c r="M309" s="80" t="str">
        <f>VLOOKUP(I309,SDDK!$C$6:$D$200,2,0)</f>
        <v>Doanh thu bán thành phẩm</v>
      </c>
      <c r="N309" s="80" t="str">
        <f>VLOOKUP(J309,SDDK!$C$6:$D$200,2,0)</f>
        <v>Xác định kết quả kinh doanh</v>
      </c>
    </row>
    <row r="310" spans="1:14" ht="12.75">
      <c r="A310" s="76" t="str">
        <f t="shared" si="5"/>
        <v>31/10/2020</v>
      </c>
      <c r="B310" s="78"/>
      <c r="C310" s="78"/>
      <c r="D310" s="77" t="s">
        <v>640</v>
      </c>
      <c r="E310" s="77" t="s">
        <v>716</v>
      </c>
      <c r="F310" s="79" t="s">
        <v>1060</v>
      </c>
      <c r="G310" s="77"/>
      <c r="H310" s="77" t="s">
        <v>1290</v>
      </c>
      <c r="I310" s="81" t="s">
        <v>102</v>
      </c>
      <c r="J310" s="81" t="s">
        <v>62</v>
      </c>
      <c r="K310" s="82"/>
      <c r="L310" s="85">
        <v>810857050</v>
      </c>
      <c r="M310" s="80" t="str">
        <f>VLOOKUP(I310,SDDK!$C$6:$D$200,2,0)</f>
        <v>Xác định kết quả kinh doanh</v>
      </c>
      <c r="N310" s="80" t="str">
        <f>VLOOKUP(J310,SDDK!$C$6:$D$200,2,0)</f>
        <v>Giá vốn hàng bán</v>
      </c>
    </row>
    <row r="311" spans="1:14" ht="12.75">
      <c r="A311" s="76" t="str">
        <f t="shared" si="5"/>
        <v>31/10/2020</v>
      </c>
      <c r="B311" s="78"/>
      <c r="C311" s="78"/>
      <c r="D311" s="77" t="s">
        <v>640</v>
      </c>
      <c r="E311" s="77" t="s">
        <v>716</v>
      </c>
      <c r="F311" s="79" t="s">
        <v>1060</v>
      </c>
      <c r="G311" s="77"/>
      <c r="H311" s="77" t="s">
        <v>1291</v>
      </c>
      <c r="I311" s="81" t="s">
        <v>102</v>
      </c>
      <c r="J311" s="81" t="s">
        <v>68</v>
      </c>
      <c r="K311" s="82"/>
      <c r="L311" s="85">
        <v>47578574.074074075</v>
      </c>
      <c r="M311" s="80" t="str">
        <f>VLOOKUP(I311,SDDK!$C$6:$D$200,2,0)</f>
        <v>Xác định kết quả kinh doanh</v>
      </c>
      <c r="N311" s="80" t="str">
        <f>VLOOKUP(J311,SDDK!$C$6:$D$200,2,0)</f>
        <v>Chi phí nhân viên bán hàng</v>
      </c>
    </row>
    <row r="312" spans="1:14" ht="12.75">
      <c r="A312" s="76" t="str">
        <f t="shared" si="5"/>
        <v>31/10/2020</v>
      </c>
      <c r="B312" s="78"/>
      <c r="C312" s="78"/>
      <c r="D312" s="77" t="s">
        <v>640</v>
      </c>
      <c r="E312" s="77" t="s">
        <v>716</v>
      </c>
      <c r="F312" s="79" t="s">
        <v>1060</v>
      </c>
      <c r="G312" s="77"/>
      <c r="H312" s="77" t="s">
        <v>1291</v>
      </c>
      <c r="I312" s="81" t="s">
        <v>102</v>
      </c>
      <c r="J312" s="81" t="s">
        <v>70</v>
      </c>
      <c r="K312" s="82"/>
      <c r="L312" s="85">
        <v>7029660</v>
      </c>
      <c r="M312" s="80" t="str">
        <f>VLOOKUP(I312,SDDK!$C$6:$D$200,2,0)</f>
        <v>Xác định kết quả kinh doanh</v>
      </c>
      <c r="N312" s="80" t="str">
        <f>VLOOKUP(J312,SDDK!$C$6:$D$200,2,0)</f>
        <v>Chi phí vật liệu, bao bì hàng bán</v>
      </c>
    </row>
    <row r="313" spans="1:14" ht="12.75">
      <c r="A313" s="76" t="str">
        <f t="shared" si="5"/>
        <v>31/10/2020</v>
      </c>
      <c r="B313" s="78"/>
      <c r="C313" s="78"/>
      <c r="D313" s="77" t="s">
        <v>640</v>
      </c>
      <c r="E313" s="77" t="s">
        <v>716</v>
      </c>
      <c r="F313" s="79" t="s">
        <v>1060</v>
      </c>
      <c r="G313" s="77"/>
      <c r="H313" s="77" t="s">
        <v>1291</v>
      </c>
      <c r="I313" s="81" t="s">
        <v>102</v>
      </c>
      <c r="J313" s="81" t="s">
        <v>74</v>
      </c>
      <c r="K313" s="82"/>
      <c r="L313" s="85">
        <v>9395161</v>
      </c>
      <c r="M313" s="80" t="str">
        <f>VLOOKUP(I313,SDDK!$C$6:$D$200,2,0)</f>
        <v>Xác định kết quả kinh doanh</v>
      </c>
      <c r="N313" s="80" t="str">
        <f>VLOOKUP(J313,SDDK!$C$6:$D$200,2,0)</f>
        <v>Chi phí khấu hao TSCĐ bán hàng</v>
      </c>
    </row>
    <row r="314" spans="1:14" ht="12.75">
      <c r="A314" s="76" t="str">
        <f t="shared" si="5"/>
        <v>31/10/2020</v>
      </c>
      <c r="B314" s="78"/>
      <c r="C314" s="78"/>
      <c r="D314" s="77" t="s">
        <v>641</v>
      </c>
      <c r="E314" s="77" t="s">
        <v>716</v>
      </c>
      <c r="F314" s="79" t="s">
        <v>1060</v>
      </c>
      <c r="G314" s="77"/>
      <c r="H314" s="77" t="s">
        <v>1292</v>
      </c>
      <c r="I314" s="81" t="s">
        <v>102</v>
      </c>
      <c r="J314" s="81" t="s">
        <v>82</v>
      </c>
      <c r="K314" s="82"/>
      <c r="L314" s="85">
        <v>111510888.8888889</v>
      </c>
      <c r="M314" s="80" t="str">
        <f>VLOOKUP(I314,SDDK!$C$6:$D$200,2,0)</f>
        <v>Xác định kết quả kinh doanh</v>
      </c>
      <c r="N314" s="80" t="str">
        <f>VLOOKUP(J314,SDDK!$C$6:$D$200,2,0)</f>
        <v>Chi phí quản lý doanh nghiệp</v>
      </c>
    </row>
    <row r="315" spans="1:14" ht="12.75">
      <c r="A315" s="76" t="str">
        <f t="shared" si="5"/>
        <v>31/10/2020</v>
      </c>
      <c r="B315" s="78"/>
      <c r="C315" s="78"/>
      <c r="D315" s="77" t="s">
        <v>641</v>
      </c>
      <c r="E315" s="77" t="s">
        <v>716</v>
      </c>
      <c r="F315" s="79" t="s">
        <v>1060</v>
      </c>
      <c r="G315" s="77"/>
      <c r="H315" s="77" t="s">
        <v>1292</v>
      </c>
      <c r="I315" s="81" t="s">
        <v>102</v>
      </c>
      <c r="J315" s="81" t="s">
        <v>84</v>
      </c>
      <c r="K315" s="82"/>
      <c r="L315" s="85">
        <v>7596095</v>
      </c>
      <c r="M315" s="80" t="str">
        <f>VLOOKUP(I315,SDDK!$C$6:$D$200,2,0)</f>
        <v>Xác định kết quả kinh doanh</v>
      </c>
      <c r="N315" s="80" t="str">
        <f>VLOOKUP(J315,SDDK!$C$6:$D$200,2,0)</f>
        <v>Chi phí vật liệu quản lý doanh nghiệp</v>
      </c>
    </row>
    <row r="316" spans="1:14" ht="12.75">
      <c r="A316" s="76" t="str">
        <f t="shared" si="5"/>
        <v>31/10/2020</v>
      </c>
      <c r="B316" s="78"/>
      <c r="C316" s="78"/>
      <c r="D316" s="77" t="s">
        <v>641</v>
      </c>
      <c r="E316" s="77" t="s">
        <v>716</v>
      </c>
      <c r="F316" s="79" t="s">
        <v>1060</v>
      </c>
      <c r="G316" s="77"/>
      <c r="H316" s="77" t="s">
        <v>1292</v>
      </c>
      <c r="I316" s="81" t="s">
        <v>102</v>
      </c>
      <c r="J316" s="81" t="s">
        <v>86</v>
      </c>
      <c r="K316" s="82"/>
      <c r="L316" s="85">
        <v>8012500</v>
      </c>
      <c r="M316" s="80" t="str">
        <f>VLOOKUP(I316,SDDK!$C$6:$D$200,2,0)</f>
        <v>Xác định kết quả kinh doanh</v>
      </c>
      <c r="N316" s="80" t="str">
        <f>VLOOKUP(J316,SDDK!$C$6:$D$200,2,0)</f>
        <v>Chi phí dụng cụ, đồ dùng quản lý doanh nghiệp</v>
      </c>
    </row>
    <row r="317" spans="1:14" ht="12.75">
      <c r="A317" s="76" t="str">
        <f t="shared" si="5"/>
        <v>31/10/2020</v>
      </c>
      <c r="B317" s="78"/>
      <c r="C317" s="78"/>
      <c r="D317" s="77" t="s">
        <v>641</v>
      </c>
      <c r="E317" s="77" t="s">
        <v>716</v>
      </c>
      <c r="F317" s="79" t="s">
        <v>1060</v>
      </c>
      <c r="G317" s="77"/>
      <c r="H317" s="77" t="s">
        <v>1292</v>
      </c>
      <c r="I317" s="81" t="s">
        <v>102</v>
      </c>
      <c r="J317" s="81" t="s">
        <v>88</v>
      </c>
      <c r="K317" s="82"/>
      <c r="L317" s="85">
        <v>7868299.666666667</v>
      </c>
      <c r="M317" s="80" t="str">
        <f>VLOOKUP(I317,SDDK!$C$6:$D$200,2,0)</f>
        <v>Xác định kết quả kinh doanh</v>
      </c>
      <c r="N317" s="80" t="str">
        <f>VLOOKUP(J317,SDDK!$C$6:$D$200,2,0)</f>
        <v>Chi phí khấu Hao TSCĐ quản lý doanh nghiệp</v>
      </c>
    </row>
    <row r="318" spans="1:14" ht="12.75">
      <c r="A318" s="76" t="str">
        <f t="shared" si="5"/>
        <v>31/10/2020</v>
      </c>
      <c r="B318" s="78"/>
      <c r="C318" s="78"/>
      <c r="D318" s="77" t="s">
        <v>641</v>
      </c>
      <c r="E318" s="77" t="s">
        <v>716</v>
      </c>
      <c r="F318" s="79" t="s">
        <v>1060</v>
      </c>
      <c r="G318" s="77"/>
      <c r="H318" s="77" t="s">
        <v>1292</v>
      </c>
      <c r="I318" s="81" t="s">
        <v>102</v>
      </c>
      <c r="J318" s="81" t="s">
        <v>90</v>
      </c>
      <c r="K318" s="82"/>
      <c r="L318" s="85">
        <v>1500000</v>
      </c>
      <c r="M318" s="80" t="str">
        <f>VLOOKUP(I318,SDDK!$C$6:$D$200,2,0)</f>
        <v>Xác định kết quả kinh doanh</v>
      </c>
      <c r="N318" s="80" t="str">
        <f>VLOOKUP(J318,SDDK!$C$6:$D$200,2,0)</f>
        <v>Thuế, phí và lệ phí quản lý doanh nghiệp</v>
      </c>
    </row>
    <row r="319" spans="1:14" ht="12.75">
      <c r="A319" s="76" t="str">
        <f t="shared" si="5"/>
        <v>31/10/2020</v>
      </c>
      <c r="B319" s="78"/>
      <c r="C319" s="78"/>
      <c r="D319" s="77" t="s">
        <v>641</v>
      </c>
      <c r="E319" s="77" t="s">
        <v>716</v>
      </c>
      <c r="F319" s="79" t="s">
        <v>1060</v>
      </c>
      <c r="G319" s="77"/>
      <c r="H319" s="77" t="s">
        <v>1292</v>
      </c>
      <c r="I319" s="81" t="s">
        <v>102</v>
      </c>
      <c r="J319" s="81" t="s">
        <v>92</v>
      </c>
      <c r="K319" s="82"/>
      <c r="L319" s="85">
        <v>5500000</v>
      </c>
      <c r="M319" s="80" t="str">
        <f>VLOOKUP(I319,SDDK!$C$6:$D$200,2,0)</f>
        <v>Xác định kết quả kinh doanh</v>
      </c>
      <c r="N319" s="80" t="str">
        <f>VLOOKUP(J319,SDDK!$C$6:$D$200,2,0)</f>
        <v>Chi phí dự phòng</v>
      </c>
    </row>
    <row r="320" spans="1:14" ht="12.75">
      <c r="A320" s="76" t="str">
        <f t="shared" si="5"/>
        <v>31/10/2020</v>
      </c>
      <c r="B320" s="78"/>
      <c r="C320" s="78"/>
      <c r="D320" s="77" t="s">
        <v>641</v>
      </c>
      <c r="E320" s="77" t="s">
        <v>716</v>
      </c>
      <c r="F320" s="79" t="s">
        <v>1060</v>
      </c>
      <c r="G320" s="77"/>
      <c r="H320" s="77" t="s">
        <v>1292</v>
      </c>
      <c r="I320" s="81" t="s">
        <v>102</v>
      </c>
      <c r="J320" s="81" t="s">
        <v>94</v>
      </c>
      <c r="K320" s="82"/>
      <c r="L320" s="85">
        <v>53365783.916666664</v>
      </c>
      <c r="M320" s="80" t="str">
        <f>VLOOKUP(I320,SDDK!$C$6:$D$200,2,0)</f>
        <v>Xác định kết quả kinh doanh</v>
      </c>
      <c r="N320" s="80" t="str">
        <f>VLOOKUP(J320,SDDK!$C$6:$D$200,2,0)</f>
        <v>Chi phí dịch vụ quản lý doanh nghiệp</v>
      </c>
    </row>
    <row r="321" spans="1:14" ht="12.75">
      <c r="A321" s="76" t="str">
        <f t="shared" si="5"/>
        <v>31/10/2020</v>
      </c>
      <c r="B321" s="78"/>
      <c r="C321" s="78"/>
      <c r="D321" s="77" t="s">
        <v>641</v>
      </c>
      <c r="E321" s="77" t="s">
        <v>716</v>
      </c>
      <c r="F321" s="79" t="s">
        <v>1060</v>
      </c>
      <c r="G321" s="77"/>
      <c r="H321" s="77" t="s">
        <v>1292</v>
      </c>
      <c r="I321" s="81" t="s">
        <v>102</v>
      </c>
      <c r="J321" s="81" t="s">
        <v>96</v>
      </c>
      <c r="K321" s="82"/>
      <c r="L321" s="85">
        <v>11600000</v>
      </c>
      <c r="M321" s="80" t="str">
        <f>VLOOKUP(I321,SDDK!$C$6:$D$200,2,0)</f>
        <v>Xác định kết quả kinh doanh</v>
      </c>
      <c r="N321" s="80" t="str">
        <f>VLOOKUP(J321,SDDK!$C$6:$D$200,2,0)</f>
        <v>Chi phí bằng tiền khác quản lý doanh nghiệp</v>
      </c>
    </row>
    <row r="322" spans="1:14" ht="12.75">
      <c r="A322" s="76" t="str">
        <f t="shared" si="5"/>
        <v>31/10/2020</v>
      </c>
      <c r="B322" s="78"/>
      <c r="C322" s="78"/>
      <c r="D322" s="77" t="s">
        <v>642</v>
      </c>
      <c r="E322" s="77" t="s">
        <v>716</v>
      </c>
      <c r="F322" s="79" t="s">
        <v>1060</v>
      </c>
      <c r="G322" s="77"/>
      <c r="H322" s="77" t="s">
        <v>1293</v>
      </c>
      <c r="I322" s="86" t="s">
        <v>22</v>
      </c>
      <c r="J322" s="86" t="s">
        <v>102</v>
      </c>
      <c r="K322" s="82"/>
      <c r="L322" s="85">
        <v>750000</v>
      </c>
      <c r="M322" s="80" t="str">
        <f>VLOOKUP(I322,SDDK!$C$6:$D$200,2,0)</f>
        <v>Doanh thu tài chính phải nộp thuế TN (Lãi TG ngân hàng)</v>
      </c>
      <c r="N322" s="80" t="str">
        <f>VLOOKUP(J322,SDDK!$C$6:$D$200,2,0)</f>
        <v>Xác định kết quả kinh doanh</v>
      </c>
    </row>
    <row r="323" spans="1:14" ht="12.75">
      <c r="A323" s="76" t="str">
        <f t="shared" si="5"/>
        <v>31/10/2020</v>
      </c>
      <c r="B323" s="78"/>
      <c r="C323" s="78"/>
      <c r="D323" s="77" t="s">
        <v>642</v>
      </c>
      <c r="E323" s="77" t="s">
        <v>716</v>
      </c>
      <c r="F323" s="79" t="s">
        <v>1060</v>
      </c>
      <c r="G323" s="77"/>
      <c r="H323" s="77" t="s">
        <v>1293</v>
      </c>
      <c r="I323" s="86" t="s">
        <v>23</v>
      </c>
      <c r="J323" s="86" t="s">
        <v>102</v>
      </c>
      <c r="K323" s="82"/>
      <c r="L323" s="85">
        <v>600000</v>
      </c>
      <c r="M323" s="80" t="str">
        <f>VLOOKUP(I323,SDDK!$C$6:$D$200,2,0)</f>
        <v>Doanh thu tài chính không phải nộp thuế TN (lãi liên doanh)</v>
      </c>
      <c r="N323" s="80" t="str">
        <f>VLOOKUP(J323,SDDK!$C$6:$D$200,2,0)</f>
        <v>Xác định kết quả kinh doanh</v>
      </c>
    </row>
    <row r="324" spans="1:14" ht="12.75">
      <c r="A324" s="76" t="str">
        <f t="shared" si="5"/>
        <v>31/10/2020</v>
      </c>
      <c r="B324" s="78"/>
      <c r="C324" s="78"/>
      <c r="D324" s="77" t="s">
        <v>643</v>
      </c>
      <c r="E324" s="77" t="s">
        <v>716</v>
      </c>
      <c r="F324" s="79" t="s">
        <v>1060</v>
      </c>
      <c r="G324" s="77"/>
      <c r="H324" s="77" t="s">
        <v>1294</v>
      </c>
      <c r="I324" s="86" t="s">
        <v>97</v>
      </c>
      <c r="J324" s="86" t="s">
        <v>102</v>
      </c>
      <c r="K324" s="82"/>
      <c r="L324" s="85">
        <v>12000000</v>
      </c>
      <c r="M324" s="80" t="str">
        <f>VLOOKUP(I324,SDDK!$C$6:$D$200,2,0)</f>
        <v>Các khoản thu nhập khác - phải nộp thuế thu nhập</v>
      </c>
      <c r="N324" s="80" t="str">
        <f>VLOOKUP(J324,SDDK!$C$6:$D$200,2,0)</f>
        <v>Xác định kết quả kinh doanh</v>
      </c>
    </row>
    <row r="325" spans="1:14" ht="12.75">
      <c r="A325" s="76" t="str">
        <f t="shared" si="5"/>
        <v>31/10/2020</v>
      </c>
      <c r="B325" s="78"/>
      <c r="C325" s="78"/>
      <c r="D325" s="77" t="s">
        <v>643</v>
      </c>
      <c r="E325" s="77" t="s">
        <v>716</v>
      </c>
      <c r="F325" s="79" t="s">
        <v>1060</v>
      </c>
      <c r="G325" s="77"/>
      <c r="H325" s="77" t="s">
        <v>1294</v>
      </c>
      <c r="I325" s="86" t="s">
        <v>99</v>
      </c>
      <c r="J325" s="86" t="s">
        <v>102</v>
      </c>
      <c r="K325" s="82"/>
      <c r="L325" s="85">
        <v>1200000</v>
      </c>
      <c r="M325" s="80" t="str">
        <f>VLOOKUP(I325,SDDK!$C$6:$D$200,2,0)</f>
        <v>Các khoản thu nhập khác - không phải nộp thuế thu nhập</v>
      </c>
      <c r="N325" s="80" t="str">
        <f>VLOOKUP(J325,SDDK!$C$6:$D$200,2,0)</f>
        <v>Xác định kết quả kinh doanh</v>
      </c>
    </row>
    <row r="326" spans="1:14" ht="12.75">
      <c r="A326" s="76" t="str">
        <f aca="true" t="shared" si="6" ref="A326:A331">F326</f>
        <v>31/10/2020</v>
      </c>
      <c r="B326" s="78"/>
      <c r="C326" s="78"/>
      <c r="D326" s="77" t="s">
        <v>644</v>
      </c>
      <c r="E326" s="77" t="s">
        <v>716</v>
      </c>
      <c r="F326" s="79" t="s">
        <v>1060</v>
      </c>
      <c r="G326" s="77"/>
      <c r="H326" s="77" t="s">
        <v>1295</v>
      </c>
      <c r="I326" s="81" t="s">
        <v>102</v>
      </c>
      <c r="J326" s="81" t="s">
        <v>64</v>
      </c>
      <c r="K326" s="82"/>
      <c r="L326" s="85">
        <v>1400000</v>
      </c>
      <c r="M326" s="80" t="str">
        <f>VLOOKUP(I326,SDDK!$C$6:$D$200,2,0)</f>
        <v>Xác định kết quả kinh doanh</v>
      </c>
      <c r="N326" s="80" t="str">
        <f>VLOOKUP(J326,SDDK!$C$6:$D$200,2,0)</f>
        <v>Chi phí hoạt động tài chính (lãi vay)</v>
      </c>
    </row>
    <row r="327" spans="1:14" ht="12.75">
      <c r="A327" s="76" t="str">
        <f t="shared" si="6"/>
        <v>31/10/2020</v>
      </c>
      <c r="B327" s="78"/>
      <c r="C327" s="78"/>
      <c r="D327" s="77" t="s">
        <v>644</v>
      </c>
      <c r="E327" s="77" t="s">
        <v>716</v>
      </c>
      <c r="F327" s="79" t="s">
        <v>1060</v>
      </c>
      <c r="G327" s="77"/>
      <c r="H327" s="77" t="s">
        <v>1295</v>
      </c>
      <c r="I327" s="81" t="s">
        <v>102</v>
      </c>
      <c r="J327" s="81" t="s">
        <v>66</v>
      </c>
      <c r="K327" s="82"/>
      <c r="L327" s="85">
        <v>7000000</v>
      </c>
      <c r="M327" s="80" t="str">
        <f>VLOOKUP(I327,SDDK!$C$6:$D$200,2,0)</f>
        <v>Xác định kết quả kinh doanh</v>
      </c>
      <c r="N327" s="80" t="str">
        <f>VLOOKUP(J327,SDDK!$C$6:$D$200,2,0)</f>
        <v>Chi phí hoạt động tài chính (chi khác)</v>
      </c>
    </row>
    <row r="328" spans="1:14" ht="12.75">
      <c r="A328" s="76" t="str">
        <f t="shared" si="6"/>
        <v>31/10/2020</v>
      </c>
      <c r="B328" s="78"/>
      <c r="C328" s="78"/>
      <c r="D328" s="77" t="s">
        <v>645</v>
      </c>
      <c r="E328" s="77" t="s">
        <v>716</v>
      </c>
      <c r="F328" s="79" t="s">
        <v>1060</v>
      </c>
      <c r="G328" s="77"/>
      <c r="H328" s="77" t="s">
        <v>1296</v>
      </c>
      <c r="I328" s="81" t="s">
        <v>102</v>
      </c>
      <c r="J328" s="81" t="s">
        <v>101</v>
      </c>
      <c r="K328" s="82"/>
      <c r="L328" s="85">
        <v>29500000</v>
      </c>
      <c r="M328" s="80" t="str">
        <f>VLOOKUP(I328,SDDK!$C$6:$D$200,2,0)</f>
        <v>Xác định kết quả kinh doanh</v>
      </c>
      <c r="N328" s="80" t="str">
        <f>VLOOKUP(J328,SDDK!$C$6:$D$200,2,0)</f>
        <v>Chi phí khác</v>
      </c>
    </row>
    <row r="329" spans="1:14" ht="12.75">
      <c r="A329" s="76" t="str">
        <f t="shared" si="6"/>
        <v>31/10/2020</v>
      </c>
      <c r="B329" s="78"/>
      <c r="C329" s="78"/>
      <c r="D329" s="77" t="s">
        <v>646</v>
      </c>
      <c r="E329" s="77" t="s">
        <v>716</v>
      </c>
      <c r="F329" s="79" t="s">
        <v>1060</v>
      </c>
      <c r="G329" s="77"/>
      <c r="H329" s="77" t="s">
        <v>1297</v>
      </c>
      <c r="I329" s="83" t="s">
        <v>511</v>
      </c>
      <c r="J329" s="83" t="s">
        <v>484</v>
      </c>
      <c r="K329" s="82"/>
      <c r="L329" s="85"/>
      <c r="M329" s="80" t="str">
        <f>VLOOKUP(I329,SDDK!$C$6:$D$200,2,0)</f>
        <v>Chi phí thuế TNDN HH</v>
      </c>
      <c r="N329" s="80" t="str">
        <f>VLOOKUP(J329,SDDK!$C$6:$D$200,2,0)</f>
        <v>Thuế thu nhập DN</v>
      </c>
    </row>
    <row r="330" spans="1:14" ht="12.75">
      <c r="A330" s="76" t="str">
        <f t="shared" si="6"/>
        <v>31/10/2020</v>
      </c>
      <c r="B330" s="78"/>
      <c r="C330" s="78"/>
      <c r="D330" s="77" t="s">
        <v>647</v>
      </c>
      <c r="E330" s="77" t="s">
        <v>716</v>
      </c>
      <c r="F330" s="79" t="s">
        <v>1060</v>
      </c>
      <c r="G330" s="77"/>
      <c r="H330" s="77" t="s">
        <v>1298</v>
      </c>
      <c r="I330" s="83" t="s">
        <v>102</v>
      </c>
      <c r="J330" s="83" t="s">
        <v>511</v>
      </c>
      <c r="K330" s="82"/>
      <c r="L330" s="85"/>
      <c r="M330" s="80" t="str">
        <f>VLOOKUP(I330,SDDK!$C$6:$D$200,2,0)</f>
        <v>Xác định kết quả kinh doanh</v>
      </c>
      <c r="N330" s="80" t="str">
        <f>VLOOKUP(J330,SDDK!$C$6:$D$200,2,0)</f>
        <v>Chi phí thuế TNDN HH</v>
      </c>
    </row>
    <row r="331" spans="1:14" ht="12.75">
      <c r="A331" s="76" t="str">
        <f t="shared" si="6"/>
        <v>31/10/2020</v>
      </c>
      <c r="B331" s="78"/>
      <c r="C331" s="78"/>
      <c r="D331" s="77" t="s">
        <v>648</v>
      </c>
      <c r="E331" s="77" t="s">
        <v>716</v>
      </c>
      <c r="F331" s="79" t="s">
        <v>1060</v>
      </c>
      <c r="G331" s="77"/>
      <c r="H331" s="77" t="s">
        <v>1299</v>
      </c>
      <c r="I331" s="81" t="s">
        <v>4</v>
      </c>
      <c r="J331" s="81" t="s">
        <v>102</v>
      </c>
      <c r="K331" s="82"/>
      <c r="L331" s="95">
        <v>88709012.54629612</v>
      </c>
      <c r="M331" s="80" t="str">
        <f>VLOOKUP(I331,SDDK!$C$6:$D$200,2,0)</f>
        <v>Lợi nhuận sau thuế chưa phân phối</v>
      </c>
      <c r="N331" s="80" t="str">
        <f>VLOOKUP(J331,SDDK!$C$6:$D$200,2,0)</f>
        <v>Xác định kết quả kinh doanh</v>
      </c>
    </row>
    <row r="332" spans="3:6" ht="12.75">
      <c r="C332" s="67"/>
      <c r="D332" s="67"/>
      <c r="E332" s="67"/>
      <c r="F332" s="67"/>
    </row>
  </sheetData>
  <sheetProtection/>
  <mergeCells count="2">
    <mergeCell ref="I3:J3"/>
    <mergeCell ref="A1:M1"/>
  </mergeCells>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B3:P201"/>
  <sheetViews>
    <sheetView showGridLines="0" zoomScale="89" zoomScaleNormal="89" zoomScalePageLayoutView="0" workbookViewId="0" topLeftCell="A1">
      <selection activeCell="C6" sqref="C6:C7"/>
    </sheetView>
  </sheetViews>
  <sheetFormatPr defaultColWidth="8.8515625" defaultRowHeight="12.75"/>
  <cols>
    <col min="1" max="1" width="3.8515625" style="0" customWidth="1"/>
    <col min="2" max="2" width="15.00390625" style="123" bestFit="1" customWidth="1"/>
    <col min="3" max="3" width="13.421875" style="123" customWidth="1"/>
    <col min="4" max="4" width="48.421875" style="107" customWidth="1"/>
    <col min="5" max="5" width="7.28125" style="108" customWidth="1"/>
    <col min="6" max="6" width="14.421875" style="108" customWidth="1"/>
    <col min="7" max="7" width="9.7109375" style="109" customWidth="1"/>
    <col min="8" max="8" width="16.421875" style="110" customWidth="1"/>
    <col min="9" max="10" width="14.8515625" style="107" bestFit="1" customWidth="1"/>
    <col min="11" max="11" width="12.8515625" style="107" customWidth="1"/>
    <col min="12" max="12" width="15.421875" style="107" customWidth="1"/>
    <col min="13" max="13" width="19.421875" style="107" customWidth="1"/>
    <col min="14" max="14" width="14.7109375" style="0" customWidth="1"/>
    <col min="15" max="15" width="12.421875" style="107" bestFit="1" customWidth="1"/>
    <col min="16" max="16" width="15.140625" style="107" customWidth="1"/>
  </cols>
  <sheetData>
    <row r="1" ht="12.75"/>
    <row r="2" ht="12.75"/>
    <row r="3" spans="2:12" s="99" customFormat="1" ht="31.5" customHeight="1">
      <c r="B3" s="218" t="s">
        <v>1061</v>
      </c>
      <c r="C3" s="218"/>
      <c r="D3" s="218"/>
      <c r="E3" s="218"/>
      <c r="F3" s="218"/>
      <c r="G3" s="218"/>
      <c r="H3" s="218"/>
      <c r="I3" s="218"/>
      <c r="J3" s="218"/>
      <c r="K3" s="218"/>
      <c r="L3" s="218"/>
    </row>
    <row r="4" spans="2:16" s="102" customFormat="1" ht="19.5" customHeight="1">
      <c r="B4" s="219" t="s">
        <v>104</v>
      </c>
      <c r="C4" s="220"/>
      <c r="D4" s="220"/>
      <c r="E4" s="220"/>
      <c r="F4" s="221"/>
      <c r="G4" s="100">
        <f aca="true" t="shared" si="0" ref="G4:L4">SUM(G6:G200)</f>
        <v>83311</v>
      </c>
      <c r="H4" s="101">
        <f t="shared" si="0"/>
        <v>15684818000</v>
      </c>
      <c r="I4" s="100">
        <f>SUM(I6:I200)</f>
        <v>0</v>
      </c>
      <c r="J4" s="100">
        <f t="shared" si="0"/>
        <v>0</v>
      </c>
      <c r="K4" s="100">
        <f t="shared" si="0"/>
        <v>0</v>
      </c>
      <c r="L4" s="100">
        <f t="shared" si="0"/>
        <v>0</v>
      </c>
      <c r="M4" s="100"/>
      <c r="N4" s="100"/>
      <c r="O4" s="100"/>
      <c r="P4" s="100"/>
    </row>
    <row r="5" spans="2:16" s="57" customFormat="1" ht="38.25">
      <c r="B5" s="124" t="s">
        <v>359</v>
      </c>
      <c r="C5" s="124" t="s">
        <v>360</v>
      </c>
      <c r="D5" s="125" t="s">
        <v>362</v>
      </c>
      <c r="E5" s="125" t="s">
        <v>361</v>
      </c>
      <c r="F5" s="125" t="s">
        <v>524</v>
      </c>
      <c r="G5" s="125" t="s">
        <v>363</v>
      </c>
      <c r="H5" s="126" t="s">
        <v>364</v>
      </c>
      <c r="I5" s="125" t="s">
        <v>365</v>
      </c>
      <c r="J5" s="125" t="s">
        <v>366</v>
      </c>
      <c r="K5" s="125" t="s">
        <v>357</v>
      </c>
      <c r="L5" s="125" t="s">
        <v>367</v>
      </c>
      <c r="M5" s="127" t="s">
        <v>368</v>
      </c>
      <c r="N5" s="127" t="s">
        <v>370</v>
      </c>
      <c r="O5" s="127" t="s">
        <v>358</v>
      </c>
      <c r="P5" s="127" t="s">
        <v>369</v>
      </c>
    </row>
    <row r="6" spans="2:16" ht="12.75">
      <c r="B6" s="118" t="s">
        <v>870</v>
      </c>
      <c r="C6" s="119" t="s">
        <v>371</v>
      </c>
      <c r="D6" s="112" t="s">
        <v>373</v>
      </c>
      <c r="E6" s="113" t="s">
        <v>372</v>
      </c>
      <c r="F6" s="113"/>
      <c r="G6" s="114"/>
      <c r="H6" s="106">
        <v>120000000</v>
      </c>
      <c r="I6" s="115"/>
      <c r="J6" s="115"/>
      <c r="K6" s="115"/>
      <c r="L6" s="115"/>
      <c r="M6" s="103"/>
      <c r="N6" s="103"/>
      <c r="O6" s="103"/>
      <c r="P6" s="103"/>
    </row>
    <row r="7" spans="2:16" ht="12.75">
      <c r="B7" s="118" t="s">
        <v>870</v>
      </c>
      <c r="C7" s="119" t="s">
        <v>150</v>
      </c>
      <c r="D7" s="112" t="s">
        <v>151</v>
      </c>
      <c r="E7" s="113" t="s">
        <v>372</v>
      </c>
      <c r="F7" s="113" t="s">
        <v>1062</v>
      </c>
      <c r="G7" s="114">
        <v>3000</v>
      </c>
      <c r="H7" s="106">
        <f>3000*18900</f>
        <v>56700000</v>
      </c>
      <c r="I7" s="115"/>
      <c r="J7" s="115"/>
      <c r="K7" s="115"/>
      <c r="L7" s="115"/>
      <c r="M7" s="103"/>
      <c r="N7" s="103"/>
      <c r="O7" s="103"/>
      <c r="P7" s="103"/>
    </row>
    <row r="8" spans="2:16" ht="12.75">
      <c r="B8" s="118" t="s">
        <v>870</v>
      </c>
      <c r="C8" s="119" t="s">
        <v>374</v>
      </c>
      <c r="D8" s="112" t="s">
        <v>375</v>
      </c>
      <c r="E8" s="113" t="s">
        <v>372</v>
      </c>
      <c r="F8" s="113"/>
      <c r="G8" s="114"/>
      <c r="H8" s="106">
        <v>680000000</v>
      </c>
      <c r="I8" s="115"/>
      <c r="J8" s="115"/>
      <c r="K8" s="115"/>
      <c r="L8" s="115"/>
      <c r="M8" s="103"/>
      <c r="N8" s="103"/>
      <c r="O8" s="103"/>
      <c r="P8" s="103"/>
    </row>
    <row r="9" spans="2:16" ht="12.75">
      <c r="B9" s="118" t="s">
        <v>870</v>
      </c>
      <c r="C9" s="119" t="s">
        <v>152</v>
      </c>
      <c r="D9" s="112" t="s">
        <v>153</v>
      </c>
      <c r="E9" s="113" t="s">
        <v>372</v>
      </c>
      <c r="F9" s="113" t="s">
        <v>1062</v>
      </c>
      <c r="G9" s="114">
        <v>10000</v>
      </c>
      <c r="H9" s="106">
        <f>10000*19100</f>
        <v>191000000</v>
      </c>
      <c r="I9" s="115"/>
      <c r="J9" s="115"/>
      <c r="K9" s="115"/>
      <c r="L9" s="115"/>
      <c r="M9" s="103"/>
      <c r="N9" s="103"/>
      <c r="O9" s="103"/>
      <c r="P9" s="103"/>
    </row>
    <row r="10" spans="2:16" ht="12.75">
      <c r="B10" s="118" t="s">
        <v>870</v>
      </c>
      <c r="C10" s="119" t="s">
        <v>376</v>
      </c>
      <c r="D10" s="112" t="s">
        <v>377</v>
      </c>
      <c r="E10" s="113" t="s">
        <v>372</v>
      </c>
      <c r="F10" s="113"/>
      <c r="G10" s="114"/>
      <c r="H10" s="106"/>
      <c r="I10" s="115"/>
      <c r="J10" s="115"/>
      <c r="K10" s="115"/>
      <c r="L10" s="115"/>
      <c r="M10" s="103"/>
      <c r="N10" s="103"/>
      <c r="O10" s="103"/>
      <c r="P10" s="103"/>
    </row>
    <row r="11" spans="2:16" ht="12.75">
      <c r="B11" s="118" t="s">
        <v>871</v>
      </c>
      <c r="C11" s="119" t="s">
        <v>381</v>
      </c>
      <c r="D11" s="112" t="s">
        <v>379</v>
      </c>
      <c r="E11" s="113" t="s">
        <v>372</v>
      </c>
      <c r="F11" s="113"/>
      <c r="G11" s="114"/>
      <c r="H11" s="106">
        <v>51200000</v>
      </c>
      <c r="I11" s="115"/>
      <c r="J11" s="115"/>
      <c r="K11" s="115"/>
      <c r="L11" s="115"/>
      <c r="M11" s="103"/>
      <c r="N11" s="103"/>
      <c r="O11" s="103"/>
      <c r="P11" s="103"/>
    </row>
    <row r="12" spans="2:16" ht="12.75">
      <c r="B12" s="118" t="s">
        <v>871</v>
      </c>
      <c r="C12" s="119" t="s">
        <v>383</v>
      </c>
      <c r="D12" s="112" t="s">
        <v>380</v>
      </c>
      <c r="E12" s="113" t="s">
        <v>372</v>
      </c>
      <c r="F12" s="113"/>
      <c r="G12" s="114"/>
      <c r="H12" s="106">
        <v>30000000</v>
      </c>
      <c r="I12" s="115"/>
      <c r="J12" s="115"/>
      <c r="K12" s="115"/>
      <c r="L12" s="115"/>
      <c r="M12" s="103"/>
      <c r="N12" s="103"/>
      <c r="O12" s="103"/>
      <c r="P12" s="103"/>
    </row>
    <row r="13" spans="2:16" ht="12.75">
      <c r="B13" s="118" t="s">
        <v>872</v>
      </c>
      <c r="C13" s="119" t="s">
        <v>378</v>
      </c>
      <c r="D13" s="112" t="s">
        <v>382</v>
      </c>
      <c r="E13" s="113" t="s">
        <v>372</v>
      </c>
      <c r="F13" s="113"/>
      <c r="G13" s="114"/>
      <c r="H13" s="106">
        <v>41241000</v>
      </c>
      <c r="I13" s="115"/>
      <c r="J13" s="115"/>
      <c r="K13" s="115"/>
      <c r="L13" s="115"/>
      <c r="M13" s="103"/>
      <c r="N13" s="103"/>
      <c r="O13" s="103"/>
      <c r="P13" s="103"/>
    </row>
    <row r="14" spans="2:16" ht="12.75">
      <c r="B14" s="118" t="s">
        <v>872</v>
      </c>
      <c r="C14" s="119" t="s">
        <v>758</v>
      </c>
      <c r="D14" s="112" t="s">
        <v>384</v>
      </c>
      <c r="E14" s="113" t="s">
        <v>372</v>
      </c>
      <c r="F14" s="113"/>
      <c r="G14" s="114"/>
      <c r="H14" s="106"/>
      <c r="I14" s="115"/>
      <c r="J14" s="115"/>
      <c r="K14" s="115"/>
      <c r="L14" s="115"/>
      <c r="M14" s="103"/>
      <c r="N14" s="103"/>
      <c r="O14" s="103"/>
      <c r="P14" s="103"/>
    </row>
    <row r="15" spans="2:16" ht="12.75">
      <c r="B15" s="118" t="s">
        <v>872</v>
      </c>
      <c r="C15" s="119" t="s">
        <v>759</v>
      </c>
      <c r="D15" s="112" t="s">
        <v>385</v>
      </c>
      <c r="E15" s="113" t="s">
        <v>372</v>
      </c>
      <c r="F15" s="113"/>
      <c r="G15" s="114"/>
      <c r="H15" s="106">
        <v>50000000</v>
      </c>
      <c r="I15" s="115"/>
      <c r="J15" s="115"/>
      <c r="K15" s="115"/>
      <c r="L15" s="115"/>
      <c r="M15" s="103"/>
      <c r="N15" s="103"/>
      <c r="O15" s="103"/>
      <c r="P15" s="103"/>
    </row>
    <row r="16" spans="2:16" ht="12.75">
      <c r="B16" s="118" t="s">
        <v>872</v>
      </c>
      <c r="C16" s="119" t="s">
        <v>760</v>
      </c>
      <c r="D16" s="112" t="s">
        <v>386</v>
      </c>
      <c r="E16" s="113" t="s">
        <v>372</v>
      </c>
      <c r="F16" s="113"/>
      <c r="G16" s="114"/>
      <c r="H16" s="106"/>
      <c r="I16" s="115"/>
      <c r="J16" s="115"/>
      <c r="K16" s="115"/>
      <c r="L16" s="115"/>
      <c r="M16" s="103"/>
      <c r="N16" s="103"/>
      <c r="O16" s="103"/>
      <c r="P16" s="103"/>
    </row>
    <row r="17" spans="2:16" ht="12.75">
      <c r="B17" s="118" t="s">
        <v>873</v>
      </c>
      <c r="C17" s="119" t="s">
        <v>388</v>
      </c>
      <c r="D17" s="112" t="s">
        <v>787</v>
      </c>
      <c r="E17" s="113" t="s">
        <v>372</v>
      </c>
      <c r="F17" s="113"/>
      <c r="G17" s="114"/>
      <c r="H17" s="106">
        <v>20000000</v>
      </c>
      <c r="I17" s="115"/>
      <c r="J17" s="115"/>
      <c r="K17" s="115"/>
      <c r="L17" s="115"/>
      <c r="M17" s="103"/>
      <c r="N17" s="103"/>
      <c r="O17" s="103"/>
      <c r="P17" s="103"/>
    </row>
    <row r="18" spans="2:16" ht="12.75">
      <c r="B18" s="118" t="s">
        <v>873</v>
      </c>
      <c r="C18" s="119" t="s">
        <v>389</v>
      </c>
      <c r="D18" s="112" t="s">
        <v>1063</v>
      </c>
      <c r="E18" s="113" t="s">
        <v>372</v>
      </c>
      <c r="F18" s="113"/>
      <c r="G18" s="114"/>
      <c r="H18" s="106">
        <v>45000000</v>
      </c>
      <c r="I18" s="115"/>
      <c r="J18" s="115"/>
      <c r="K18" s="115"/>
      <c r="L18" s="115"/>
      <c r="M18" s="103"/>
      <c r="N18" s="103"/>
      <c r="O18" s="103"/>
      <c r="P18" s="103"/>
    </row>
    <row r="19" spans="2:16" ht="12.75">
      <c r="B19" s="118" t="s">
        <v>873</v>
      </c>
      <c r="C19" s="119" t="s">
        <v>390</v>
      </c>
      <c r="D19" s="112" t="s">
        <v>788</v>
      </c>
      <c r="E19" s="113" t="s">
        <v>372</v>
      </c>
      <c r="F19" s="113"/>
      <c r="G19" s="114"/>
      <c r="H19" s="106">
        <v>-80000000</v>
      </c>
      <c r="I19" s="115"/>
      <c r="J19" s="115"/>
      <c r="K19" s="115"/>
      <c r="L19" s="115"/>
      <c r="M19" s="103"/>
      <c r="N19" s="103"/>
      <c r="O19" s="103"/>
      <c r="P19" s="103"/>
    </row>
    <row r="20" spans="2:16" ht="12.75">
      <c r="B20" s="118" t="s">
        <v>873</v>
      </c>
      <c r="C20" s="119" t="s">
        <v>391</v>
      </c>
      <c r="D20" s="112" t="s">
        <v>789</v>
      </c>
      <c r="E20" s="113" t="s">
        <v>372</v>
      </c>
      <c r="F20" s="113"/>
      <c r="G20" s="114"/>
      <c r="H20" s="106">
        <v>-40000000</v>
      </c>
      <c r="I20" s="115"/>
      <c r="J20" s="115"/>
      <c r="K20" s="115"/>
      <c r="L20" s="115"/>
      <c r="M20" s="103"/>
      <c r="N20" s="103"/>
      <c r="O20" s="103"/>
      <c r="P20" s="103"/>
    </row>
    <row r="21" spans="2:16" ht="12.75">
      <c r="B21" s="118" t="s">
        <v>873</v>
      </c>
      <c r="C21" s="119" t="s">
        <v>392</v>
      </c>
      <c r="D21" s="112" t="s">
        <v>1064</v>
      </c>
      <c r="E21" s="113" t="s">
        <v>372</v>
      </c>
      <c r="F21" s="113"/>
      <c r="G21" s="114"/>
      <c r="H21" s="106">
        <v>-30000000</v>
      </c>
      <c r="I21" s="115"/>
      <c r="J21" s="115"/>
      <c r="K21" s="115"/>
      <c r="L21" s="115"/>
      <c r="M21" s="103"/>
      <c r="N21" s="103"/>
      <c r="O21" s="103"/>
      <c r="P21" s="103"/>
    </row>
    <row r="22" spans="2:16" ht="12.75">
      <c r="B22" s="118" t="s">
        <v>873</v>
      </c>
      <c r="C22" s="119" t="s">
        <v>393</v>
      </c>
      <c r="D22" s="112" t="s">
        <v>1052</v>
      </c>
      <c r="E22" s="113" t="s">
        <v>372</v>
      </c>
      <c r="F22" s="113"/>
      <c r="G22" s="114"/>
      <c r="H22" s="106"/>
      <c r="I22" s="115"/>
      <c r="J22" s="115"/>
      <c r="K22" s="115"/>
      <c r="L22" s="115"/>
      <c r="M22" s="103"/>
      <c r="N22" s="103"/>
      <c r="O22" s="103"/>
      <c r="P22" s="103"/>
    </row>
    <row r="23" spans="2:16" ht="12.75">
      <c r="B23" s="118" t="s">
        <v>873</v>
      </c>
      <c r="C23" s="119" t="s">
        <v>394</v>
      </c>
      <c r="D23" s="112" t="s">
        <v>1065</v>
      </c>
      <c r="E23" s="113" t="s">
        <v>372</v>
      </c>
      <c r="F23" s="113"/>
      <c r="G23" s="114"/>
      <c r="H23" s="106">
        <v>25000000</v>
      </c>
      <c r="I23" s="115"/>
      <c r="J23" s="115"/>
      <c r="K23" s="115"/>
      <c r="L23" s="115"/>
      <c r="M23" s="103"/>
      <c r="N23" s="103"/>
      <c r="O23" s="103"/>
      <c r="P23" s="103"/>
    </row>
    <row r="24" spans="2:16" ht="12.75">
      <c r="B24" s="120" t="s">
        <v>874</v>
      </c>
      <c r="C24" s="119" t="s">
        <v>395</v>
      </c>
      <c r="D24" s="112" t="s">
        <v>790</v>
      </c>
      <c r="E24" s="113" t="s">
        <v>372</v>
      </c>
      <c r="F24" s="113"/>
      <c r="G24" s="114"/>
      <c r="H24" s="106"/>
      <c r="I24" s="115"/>
      <c r="J24" s="115"/>
      <c r="K24" s="115"/>
      <c r="L24" s="115"/>
      <c r="M24" s="103"/>
      <c r="N24" s="103"/>
      <c r="O24" s="103"/>
      <c r="P24" s="103"/>
    </row>
    <row r="25" spans="2:16" ht="12.75">
      <c r="B25" s="120" t="s">
        <v>874</v>
      </c>
      <c r="C25" s="119" t="s">
        <v>396</v>
      </c>
      <c r="D25" s="112" t="s">
        <v>1053</v>
      </c>
      <c r="E25" s="113" t="s">
        <v>372</v>
      </c>
      <c r="F25" s="113"/>
      <c r="G25" s="114"/>
      <c r="H25" s="106"/>
      <c r="I25" s="115"/>
      <c r="J25" s="115"/>
      <c r="K25" s="115"/>
      <c r="L25" s="115"/>
      <c r="M25" s="103"/>
      <c r="N25" s="103"/>
      <c r="O25" s="103"/>
      <c r="P25" s="103"/>
    </row>
    <row r="26" spans="2:16" ht="12.75">
      <c r="B26" s="120" t="s">
        <v>874</v>
      </c>
      <c r="C26" s="119" t="s">
        <v>397</v>
      </c>
      <c r="D26" s="112" t="s">
        <v>791</v>
      </c>
      <c r="E26" s="113" t="s">
        <v>372</v>
      </c>
      <c r="F26" s="113"/>
      <c r="G26" s="114"/>
      <c r="H26" s="106"/>
      <c r="I26" s="115"/>
      <c r="J26" s="115"/>
      <c r="K26" s="115"/>
      <c r="L26" s="115"/>
      <c r="M26" s="103"/>
      <c r="N26" s="103"/>
      <c r="O26" s="103"/>
      <c r="P26" s="103"/>
    </row>
    <row r="27" spans="2:16" ht="12.75">
      <c r="B27" s="120" t="s">
        <v>874</v>
      </c>
      <c r="C27" s="119" t="s">
        <v>398</v>
      </c>
      <c r="D27" s="112" t="s">
        <v>792</v>
      </c>
      <c r="E27" s="113" t="s">
        <v>372</v>
      </c>
      <c r="F27" s="113"/>
      <c r="G27" s="114"/>
      <c r="H27" s="106"/>
      <c r="I27" s="115"/>
      <c r="J27" s="115"/>
      <c r="K27" s="115"/>
      <c r="L27" s="115"/>
      <c r="M27" s="103"/>
      <c r="N27" s="103"/>
      <c r="O27" s="103"/>
      <c r="P27" s="103"/>
    </row>
    <row r="28" spans="2:16" ht="12.75">
      <c r="B28" s="120" t="s">
        <v>874</v>
      </c>
      <c r="C28" s="119" t="s">
        <v>399</v>
      </c>
      <c r="D28" s="112" t="s">
        <v>1066</v>
      </c>
      <c r="E28" s="113" t="s">
        <v>372</v>
      </c>
      <c r="F28" s="113"/>
      <c r="G28" s="114"/>
      <c r="H28" s="106"/>
      <c r="I28" s="115"/>
      <c r="J28" s="115"/>
      <c r="K28" s="115"/>
      <c r="L28" s="115"/>
      <c r="M28" s="103"/>
      <c r="N28" s="103"/>
      <c r="O28" s="103"/>
      <c r="P28" s="103"/>
    </row>
    <row r="29" spans="2:16" ht="12.75">
      <c r="B29" s="120" t="s">
        <v>874</v>
      </c>
      <c r="C29" s="119" t="s">
        <v>400</v>
      </c>
      <c r="D29" s="112" t="s">
        <v>1067</v>
      </c>
      <c r="E29" s="113" t="s">
        <v>372</v>
      </c>
      <c r="F29" s="113"/>
      <c r="G29" s="114"/>
      <c r="H29" s="106"/>
      <c r="I29" s="115"/>
      <c r="J29" s="115"/>
      <c r="K29" s="115"/>
      <c r="L29" s="115"/>
      <c r="M29" s="103"/>
      <c r="N29" s="103"/>
      <c r="O29" s="103"/>
      <c r="P29" s="103"/>
    </row>
    <row r="30" spans="2:16" ht="12.75">
      <c r="B30" s="120" t="s">
        <v>874</v>
      </c>
      <c r="C30" s="119" t="s">
        <v>401</v>
      </c>
      <c r="D30" s="112" t="s">
        <v>1068</v>
      </c>
      <c r="E30" s="113" t="s">
        <v>372</v>
      </c>
      <c r="F30" s="113"/>
      <c r="G30" s="114"/>
      <c r="H30" s="106">
        <v>140000000</v>
      </c>
      <c r="I30" s="115"/>
      <c r="J30" s="115"/>
      <c r="K30" s="115"/>
      <c r="L30" s="115"/>
      <c r="M30" s="103"/>
      <c r="N30" s="103"/>
      <c r="O30" s="103"/>
      <c r="P30" s="103"/>
    </row>
    <row r="31" spans="2:16" ht="12.75">
      <c r="B31" s="118" t="s">
        <v>875</v>
      </c>
      <c r="C31" s="119" t="s">
        <v>402</v>
      </c>
      <c r="D31" s="112" t="s">
        <v>403</v>
      </c>
      <c r="E31" s="113" t="s">
        <v>372</v>
      </c>
      <c r="F31" s="113"/>
      <c r="G31" s="114"/>
      <c r="H31" s="106"/>
      <c r="I31" s="115"/>
      <c r="J31" s="115"/>
      <c r="K31" s="115"/>
      <c r="L31" s="115"/>
      <c r="M31" s="103"/>
      <c r="N31" s="103"/>
      <c r="O31" s="103"/>
      <c r="P31" s="103"/>
    </row>
    <row r="32" spans="2:16" ht="12.75">
      <c r="B32" s="118" t="s">
        <v>875</v>
      </c>
      <c r="C32" s="119" t="s">
        <v>404</v>
      </c>
      <c r="D32" s="112" t="s">
        <v>405</v>
      </c>
      <c r="E32" s="113" t="s">
        <v>372</v>
      </c>
      <c r="F32" s="113"/>
      <c r="G32" s="114"/>
      <c r="H32" s="106"/>
      <c r="I32" s="115"/>
      <c r="J32" s="115"/>
      <c r="K32" s="115"/>
      <c r="L32" s="115"/>
      <c r="M32" s="103"/>
      <c r="N32" s="103"/>
      <c r="O32" s="103"/>
      <c r="P32" s="103"/>
    </row>
    <row r="33" spans="2:16" s="104" customFormat="1" ht="12.75">
      <c r="B33" s="118" t="s">
        <v>875</v>
      </c>
      <c r="C33" s="119" t="s">
        <v>406</v>
      </c>
      <c r="D33" s="112" t="s">
        <v>407</v>
      </c>
      <c r="E33" s="113" t="s">
        <v>372</v>
      </c>
      <c r="F33" s="113"/>
      <c r="G33" s="114"/>
      <c r="H33" s="106">
        <v>1500000</v>
      </c>
      <c r="I33" s="115"/>
      <c r="J33" s="115"/>
      <c r="K33" s="115"/>
      <c r="L33" s="115"/>
      <c r="M33" s="103"/>
      <c r="N33" s="103"/>
      <c r="O33" s="103"/>
      <c r="P33" s="103"/>
    </row>
    <row r="34" spans="2:16" ht="12.75">
      <c r="B34" s="118" t="s">
        <v>876</v>
      </c>
      <c r="C34" s="119" t="s">
        <v>761</v>
      </c>
      <c r="D34" s="112" t="s">
        <v>408</v>
      </c>
      <c r="E34" s="113" t="s">
        <v>372</v>
      </c>
      <c r="F34" s="113"/>
      <c r="G34" s="114"/>
      <c r="H34" s="106">
        <v>1000000</v>
      </c>
      <c r="I34" s="115"/>
      <c r="J34" s="115"/>
      <c r="K34" s="115"/>
      <c r="L34" s="115"/>
      <c r="M34" s="103"/>
      <c r="N34" s="103"/>
      <c r="O34" s="103"/>
      <c r="P34" s="103"/>
    </row>
    <row r="35" spans="2:16" ht="12.75">
      <c r="B35" s="118" t="s">
        <v>877</v>
      </c>
      <c r="C35" s="119" t="s">
        <v>762</v>
      </c>
      <c r="D35" s="112" t="s">
        <v>409</v>
      </c>
      <c r="E35" s="113" t="s">
        <v>372</v>
      </c>
      <c r="F35" s="113"/>
      <c r="G35" s="114"/>
      <c r="H35" s="106">
        <v>2000000</v>
      </c>
      <c r="I35" s="115"/>
      <c r="J35" s="115"/>
      <c r="K35" s="115"/>
      <c r="L35" s="115"/>
      <c r="M35" s="103"/>
      <c r="N35" s="103"/>
      <c r="O35" s="103"/>
      <c r="P35" s="103"/>
    </row>
    <row r="36" spans="2:16" ht="12.75">
      <c r="B36" s="118" t="s">
        <v>878</v>
      </c>
      <c r="C36" s="119" t="s">
        <v>356</v>
      </c>
      <c r="D36" s="112" t="s">
        <v>410</v>
      </c>
      <c r="E36" s="113" t="s">
        <v>372</v>
      </c>
      <c r="F36" s="113"/>
      <c r="G36" s="114"/>
      <c r="H36" s="106"/>
      <c r="I36" s="115"/>
      <c r="J36" s="115"/>
      <c r="K36" s="115"/>
      <c r="L36" s="115"/>
      <c r="M36" s="103"/>
      <c r="N36" s="103"/>
      <c r="O36" s="103"/>
      <c r="P36" s="103"/>
    </row>
    <row r="37" spans="2:16" s="104" customFormat="1" ht="12.75">
      <c r="B37" s="118" t="s">
        <v>878</v>
      </c>
      <c r="C37" s="119" t="s">
        <v>411</v>
      </c>
      <c r="D37" s="112" t="s">
        <v>412</v>
      </c>
      <c r="E37" s="113" t="s">
        <v>372</v>
      </c>
      <c r="F37" s="113"/>
      <c r="G37" s="114"/>
      <c r="H37" s="106">
        <v>1000000</v>
      </c>
      <c r="I37" s="115"/>
      <c r="J37" s="115"/>
      <c r="K37" s="115"/>
      <c r="L37" s="115"/>
      <c r="M37" s="103"/>
      <c r="N37" s="103"/>
      <c r="O37" s="103"/>
      <c r="P37" s="103"/>
    </row>
    <row r="38" spans="2:16" s="104" customFormat="1" ht="12.75">
      <c r="B38" s="118" t="s">
        <v>878</v>
      </c>
      <c r="C38" s="119" t="s">
        <v>413</v>
      </c>
      <c r="D38" s="112" t="s">
        <v>414</v>
      </c>
      <c r="E38" s="113" t="s">
        <v>372</v>
      </c>
      <c r="F38" s="113"/>
      <c r="G38" s="114"/>
      <c r="H38" s="106">
        <v>500000</v>
      </c>
      <c r="I38" s="115"/>
      <c r="J38" s="115"/>
      <c r="K38" s="115"/>
      <c r="L38" s="115"/>
      <c r="M38" s="103"/>
      <c r="N38" s="103"/>
      <c r="O38" s="103"/>
      <c r="P38" s="103"/>
    </row>
    <row r="39" spans="2:16" s="104" customFormat="1" ht="12.75">
      <c r="B39" s="118" t="s">
        <v>878</v>
      </c>
      <c r="C39" s="119" t="s">
        <v>415</v>
      </c>
      <c r="D39" s="112" t="s">
        <v>416</v>
      </c>
      <c r="E39" s="113" t="s">
        <v>372</v>
      </c>
      <c r="F39" s="113"/>
      <c r="G39" s="114"/>
      <c r="H39" s="106">
        <v>300000</v>
      </c>
      <c r="I39" s="115"/>
      <c r="J39" s="115"/>
      <c r="K39" s="115"/>
      <c r="L39" s="115"/>
      <c r="M39" s="103"/>
      <c r="N39" s="103"/>
      <c r="O39" s="103"/>
      <c r="P39" s="103"/>
    </row>
    <row r="40" spans="2:16" ht="12.75">
      <c r="B40" s="118" t="s">
        <v>878</v>
      </c>
      <c r="C40" s="119" t="s">
        <v>417</v>
      </c>
      <c r="D40" s="112" t="s">
        <v>418</v>
      </c>
      <c r="E40" s="113" t="s">
        <v>372</v>
      </c>
      <c r="F40" s="113"/>
      <c r="G40" s="114"/>
      <c r="H40" s="106">
        <v>200000</v>
      </c>
      <c r="I40" s="115"/>
      <c r="J40" s="115"/>
      <c r="K40" s="115"/>
      <c r="L40" s="115"/>
      <c r="M40" s="103"/>
      <c r="N40" s="103"/>
      <c r="O40" s="103"/>
      <c r="P40" s="103"/>
    </row>
    <row r="41" spans="2:16" ht="12.75">
      <c r="B41" s="118" t="s">
        <v>878</v>
      </c>
      <c r="C41" s="119" t="s">
        <v>421</v>
      </c>
      <c r="D41" s="112" t="s">
        <v>187</v>
      </c>
      <c r="E41" s="113" t="s">
        <v>372</v>
      </c>
      <c r="F41" s="113"/>
      <c r="G41" s="114"/>
      <c r="H41" s="106"/>
      <c r="I41" s="115"/>
      <c r="J41" s="115"/>
      <c r="K41" s="115"/>
      <c r="L41" s="115"/>
      <c r="M41" s="103"/>
      <c r="N41" s="103"/>
      <c r="O41" s="103"/>
      <c r="P41" s="103"/>
    </row>
    <row r="42" spans="2:16" ht="12.75">
      <c r="B42" s="118" t="s">
        <v>878</v>
      </c>
      <c r="C42" s="119" t="s">
        <v>422</v>
      </c>
      <c r="D42" s="112" t="s">
        <v>649</v>
      </c>
      <c r="E42" s="113" t="s">
        <v>372</v>
      </c>
      <c r="F42" s="113"/>
      <c r="G42" s="114"/>
      <c r="H42" s="106">
        <v>3000000</v>
      </c>
      <c r="I42" s="115"/>
      <c r="J42" s="115"/>
      <c r="K42" s="115"/>
      <c r="L42" s="115"/>
      <c r="M42" s="103"/>
      <c r="N42" s="103"/>
      <c r="O42" s="103"/>
      <c r="P42" s="103"/>
    </row>
    <row r="43" spans="2:16" ht="12.75">
      <c r="B43" s="120" t="s">
        <v>879</v>
      </c>
      <c r="C43" s="119" t="s">
        <v>842</v>
      </c>
      <c r="D43" s="112" t="s">
        <v>841</v>
      </c>
      <c r="E43" s="113" t="s">
        <v>372</v>
      </c>
      <c r="F43" s="45" t="s">
        <v>133</v>
      </c>
      <c r="G43" s="114">
        <v>5000</v>
      </c>
      <c r="H43" s="106">
        <f>5000*19350</f>
        <v>96750000</v>
      </c>
      <c r="I43" s="115"/>
      <c r="J43" s="115"/>
      <c r="K43" s="115"/>
      <c r="L43" s="115"/>
      <c r="M43" s="103"/>
      <c r="N43" s="103"/>
      <c r="O43" s="103"/>
      <c r="P43" s="103"/>
    </row>
    <row r="44" spans="2:16" ht="12.75">
      <c r="B44" s="120" t="s">
        <v>879</v>
      </c>
      <c r="C44" s="119" t="s">
        <v>423</v>
      </c>
      <c r="D44" s="112" t="s">
        <v>831</v>
      </c>
      <c r="E44" s="113" t="s">
        <v>372</v>
      </c>
      <c r="F44" s="45" t="s">
        <v>133</v>
      </c>
      <c r="G44" s="114">
        <v>11000</v>
      </c>
      <c r="H44" s="106">
        <f>11000*19300</f>
        <v>212300000</v>
      </c>
      <c r="I44" s="115"/>
      <c r="J44" s="115"/>
      <c r="K44" s="115"/>
      <c r="L44" s="115"/>
      <c r="M44" s="103"/>
      <c r="N44" s="103"/>
      <c r="O44" s="103"/>
      <c r="P44" s="103"/>
    </row>
    <row r="45" spans="2:16" ht="12.75">
      <c r="B45" s="120" t="s">
        <v>879</v>
      </c>
      <c r="C45" s="119" t="s">
        <v>424</v>
      </c>
      <c r="D45" s="112" t="s">
        <v>827</v>
      </c>
      <c r="E45" s="113" t="s">
        <v>372</v>
      </c>
      <c r="F45" s="45" t="s">
        <v>135</v>
      </c>
      <c r="G45" s="114">
        <v>50000</v>
      </c>
      <c r="H45" s="106">
        <f>50000*10000</f>
        <v>500000000</v>
      </c>
      <c r="I45" s="115"/>
      <c r="J45" s="115"/>
      <c r="K45" s="115"/>
      <c r="L45" s="115"/>
      <c r="M45" s="103"/>
      <c r="N45" s="103"/>
      <c r="O45" s="103"/>
      <c r="P45" s="103"/>
    </row>
    <row r="46" spans="2:16" ht="12.75">
      <c r="B46" s="120" t="s">
        <v>879</v>
      </c>
      <c r="C46" s="119" t="s">
        <v>425</v>
      </c>
      <c r="D46" s="112" t="s">
        <v>826</v>
      </c>
      <c r="E46" s="113" t="s">
        <v>372</v>
      </c>
      <c r="F46" s="45" t="s">
        <v>135</v>
      </c>
      <c r="G46" s="114">
        <v>500</v>
      </c>
      <c r="H46" s="106">
        <f>500*7500</f>
        <v>3750000</v>
      </c>
      <c r="I46" s="115"/>
      <c r="J46" s="115"/>
      <c r="K46" s="115"/>
      <c r="L46" s="115"/>
      <c r="M46" s="103"/>
      <c r="N46" s="103"/>
      <c r="O46" s="103"/>
      <c r="P46" s="103"/>
    </row>
    <row r="47" spans="2:16" ht="12.75">
      <c r="B47" s="120" t="s">
        <v>879</v>
      </c>
      <c r="C47" s="119" t="s">
        <v>426</v>
      </c>
      <c r="D47" s="112" t="s">
        <v>825</v>
      </c>
      <c r="E47" s="113" t="s">
        <v>372</v>
      </c>
      <c r="F47" s="45" t="s">
        <v>134</v>
      </c>
      <c r="G47" s="114">
        <v>1000</v>
      </c>
      <c r="H47" s="106">
        <f>1000*16200</f>
        <v>16200000</v>
      </c>
      <c r="I47" s="115"/>
      <c r="J47" s="115"/>
      <c r="K47" s="115"/>
      <c r="L47" s="115"/>
      <c r="M47" s="103"/>
      <c r="N47" s="103"/>
      <c r="O47" s="103"/>
      <c r="P47" s="103"/>
    </row>
    <row r="48" spans="2:16" ht="12.75">
      <c r="B48" s="120" t="s">
        <v>879</v>
      </c>
      <c r="C48" s="119" t="s">
        <v>427</v>
      </c>
      <c r="D48" s="112" t="s">
        <v>828</v>
      </c>
      <c r="E48" s="113" t="s">
        <v>372</v>
      </c>
      <c r="F48" s="45" t="s">
        <v>133</v>
      </c>
      <c r="G48" s="114">
        <v>2000</v>
      </c>
      <c r="H48" s="106">
        <f>2000*2100</f>
        <v>4200000</v>
      </c>
      <c r="I48" s="115"/>
      <c r="J48" s="115"/>
      <c r="K48" s="115"/>
      <c r="L48" s="115"/>
      <c r="M48" s="103"/>
      <c r="N48" s="103"/>
      <c r="O48" s="103"/>
      <c r="P48" s="103"/>
    </row>
    <row r="49" spans="2:16" ht="12.75">
      <c r="B49" s="120" t="s">
        <v>879</v>
      </c>
      <c r="C49" s="119" t="s">
        <v>428</v>
      </c>
      <c r="D49" s="112" t="s">
        <v>829</v>
      </c>
      <c r="E49" s="113" t="s">
        <v>372</v>
      </c>
      <c r="F49" s="45" t="s">
        <v>133</v>
      </c>
      <c r="G49" s="114">
        <v>51</v>
      </c>
      <c r="H49" s="106">
        <v>918000</v>
      </c>
      <c r="I49" s="115"/>
      <c r="J49" s="115"/>
      <c r="K49" s="115"/>
      <c r="L49" s="115"/>
      <c r="M49" s="103"/>
      <c r="N49" s="103"/>
      <c r="O49" s="103"/>
      <c r="P49" s="103"/>
    </row>
    <row r="50" spans="2:16" ht="12.75">
      <c r="B50" s="120" t="s">
        <v>879</v>
      </c>
      <c r="C50" s="119" t="s">
        <v>763</v>
      </c>
      <c r="D50" s="112" t="s">
        <v>830</v>
      </c>
      <c r="E50" s="113" t="s">
        <v>372</v>
      </c>
      <c r="F50" s="45" t="s">
        <v>134</v>
      </c>
      <c r="G50" s="114">
        <v>100</v>
      </c>
      <c r="H50" s="106">
        <v>24500000</v>
      </c>
      <c r="I50" s="115"/>
      <c r="J50" s="115"/>
      <c r="K50" s="115"/>
      <c r="L50" s="115"/>
      <c r="M50" s="103"/>
      <c r="N50" s="103"/>
      <c r="O50" s="103"/>
      <c r="P50" s="103"/>
    </row>
    <row r="51" spans="2:16" ht="12.75">
      <c r="B51" s="120" t="s">
        <v>879</v>
      </c>
      <c r="C51" s="119" t="s">
        <v>764</v>
      </c>
      <c r="D51" s="112" t="s">
        <v>832</v>
      </c>
      <c r="E51" s="113" t="s">
        <v>372</v>
      </c>
      <c r="F51" s="45" t="s">
        <v>134</v>
      </c>
      <c r="G51" s="114"/>
      <c r="H51" s="106"/>
      <c r="I51" s="115"/>
      <c r="J51" s="115"/>
      <c r="K51" s="115"/>
      <c r="L51" s="115"/>
      <c r="M51" s="103"/>
      <c r="N51" s="103"/>
      <c r="O51" s="103"/>
      <c r="P51" s="103"/>
    </row>
    <row r="52" spans="2:16" ht="12.75">
      <c r="B52" s="120" t="s">
        <v>879</v>
      </c>
      <c r="C52" s="119" t="s">
        <v>429</v>
      </c>
      <c r="D52" s="112" t="s">
        <v>839</v>
      </c>
      <c r="E52" s="113" t="s">
        <v>372</v>
      </c>
      <c r="F52" s="113"/>
      <c r="G52" s="114"/>
      <c r="H52" s="106">
        <v>2550000</v>
      </c>
      <c r="I52" s="115"/>
      <c r="J52" s="115"/>
      <c r="K52" s="115"/>
      <c r="L52" s="115"/>
      <c r="M52" s="103"/>
      <c r="N52" s="103"/>
      <c r="O52" s="103"/>
      <c r="P52" s="103"/>
    </row>
    <row r="53" spans="2:16" ht="12.75">
      <c r="B53" s="120" t="s">
        <v>879</v>
      </c>
      <c r="C53" s="121" t="s">
        <v>430</v>
      </c>
      <c r="D53" s="112" t="s">
        <v>840</v>
      </c>
      <c r="E53" s="113" t="s">
        <v>372</v>
      </c>
      <c r="F53" s="113"/>
      <c r="G53" s="114"/>
      <c r="H53" s="106">
        <v>1200000</v>
      </c>
      <c r="I53" s="115"/>
      <c r="J53" s="115"/>
      <c r="K53" s="115"/>
      <c r="L53" s="115"/>
      <c r="M53" s="103"/>
      <c r="N53" s="103"/>
      <c r="O53" s="103"/>
      <c r="P53" s="103"/>
    </row>
    <row r="54" spans="2:16" s="105" customFormat="1" ht="12.75">
      <c r="B54" s="120" t="s">
        <v>879</v>
      </c>
      <c r="C54" s="119" t="s">
        <v>431</v>
      </c>
      <c r="D54" s="112" t="s">
        <v>837</v>
      </c>
      <c r="E54" s="113" t="s">
        <v>372</v>
      </c>
      <c r="F54" s="113" t="s">
        <v>838</v>
      </c>
      <c r="G54" s="114"/>
      <c r="H54" s="106"/>
      <c r="I54" s="115"/>
      <c r="J54" s="115"/>
      <c r="K54" s="115"/>
      <c r="L54" s="115"/>
      <c r="M54" s="103"/>
      <c r="N54" s="103"/>
      <c r="O54" s="103"/>
      <c r="P54" s="103"/>
    </row>
    <row r="55" spans="2:16" ht="12.75">
      <c r="B55" s="120" t="s">
        <v>879</v>
      </c>
      <c r="C55" s="119" t="s">
        <v>432</v>
      </c>
      <c r="D55" s="112" t="s">
        <v>833</v>
      </c>
      <c r="E55" s="113" t="s">
        <v>372</v>
      </c>
      <c r="F55" s="45" t="s">
        <v>133</v>
      </c>
      <c r="G55" s="114">
        <v>400</v>
      </c>
      <c r="H55" s="106">
        <f>G55*400000</f>
        <v>160000000</v>
      </c>
      <c r="I55" s="115"/>
      <c r="J55" s="115"/>
      <c r="K55" s="115"/>
      <c r="L55" s="115"/>
      <c r="M55" s="103"/>
      <c r="N55" s="103"/>
      <c r="O55" s="103"/>
      <c r="P55" s="103"/>
    </row>
    <row r="56" spans="2:16" ht="12.75">
      <c r="B56" s="120" t="s">
        <v>879</v>
      </c>
      <c r="C56" s="119" t="s">
        <v>433</v>
      </c>
      <c r="D56" s="112" t="s">
        <v>834</v>
      </c>
      <c r="E56" s="113" t="s">
        <v>372</v>
      </c>
      <c r="F56" s="45" t="s">
        <v>134</v>
      </c>
      <c r="G56" s="114">
        <v>200</v>
      </c>
      <c r="H56" s="106">
        <f>G56*318000</f>
        <v>63600000</v>
      </c>
      <c r="I56" s="115"/>
      <c r="J56" s="115"/>
      <c r="K56" s="115"/>
      <c r="L56" s="115"/>
      <c r="M56" s="103"/>
      <c r="N56" s="103"/>
      <c r="O56" s="103"/>
      <c r="P56" s="103"/>
    </row>
    <row r="57" spans="2:16" s="104" customFormat="1" ht="12.75">
      <c r="B57" s="120" t="s">
        <v>879</v>
      </c>
      <c r="C57" s="119" t="s">
        <v>765</v>
      </c>
      <c r="D57" s="112" t="s">
        <v>835</v>
      </c>
      <c r="E57" s="113" t="s">
        <v>372</v>
      </c>
      <c r="F57" s="45" t="s">
        <v>133</v>
      </c>
      <c r="G57" s="114"/>
      <c r="H57" s="106"/>
      <c r="I57" s="115"/>
      <c r="J57" s="115"/>
      <c r="K57" s="115"/>
      <c r="L57" s="115"/>
      <c r="M57" s="103"/>
      <c r="N57" s="103"/>
      <c r="O57" s="103"/>
      <c r="P57" s="103"/>
    </row>
    <row r="58" spans="2:16" ht="12.75">
      <c r="B58" s="120" t="s">
        <v>879</v>
      </c>
      <c r="C58" s="119" t="s">
        <v>434</v>
      </c>
      <c r="D58" s="112" t="s">
        <v>836</v>
      </c>
      <c r="E58" s="113" t="s">
        <v>372</v>
      </c>
      <c r="F58" s="113" t="s">
        <v>656</v>
      </c>
      <c r="G58" s="114">
        <v>60</v>
      </c>
      <c r="H58" s="106">
        <v>20000000</v>
      </c>
      <c r="I58" s="115"/>
      <c r="J58" s="115"/>
      <c r="K58" s="115"/>
      <c r="L58" s="115"/>
      <c r="M58" s="103"/>
      <c r="N58" s="103"/>
      <c r="O58" s="103"/>
      <c r="P58" s="103"/>
    </row>
    <row r="59" spans="2:16" ht="12.75">
      <c r="B59" s="120" t="s">
        <v>880</v>
      </c>
      <c r="C59" s="119" t="s">
        <v>435</v>
      </c>
      <c r="D59" s="112" t="s">
        <v>436</v>
      </c>
      <c r="E59" s="113" t="s">
        <v>372</v>
      </c>
      <c r="F59" s="113"/>
      <c r="G59" s="114"/>
      <c r="H59" s="106">
        <v>3456800000</v>
      </c>
      <c r="I59" s="115"/>
      <c r="J59" s="115"/>
      <c r="K59" s="115"/>
      <c r="L59" s="115"/>
      <c r="M59" s="103"/>
      <c r="N59" s="103"/>
      <c r="O59" s="103"/>
      <c r="P59" s="103"/>
    </row>
    <row r="60" spans="2:16" ht="12.75">
      <c r="B60" s="120" t="s">
        <v>881</v>
      </c>
      <c r="C60" s="119" t="s">
        <v>437</v>
      </c>
      <c r="D60" s="112" t="s">
        <v>438</v>
      </c>
      <c r="E60" s="113" t="s">
        <v>372</v>
      </c>
      <c r="F60" s="113"/>
      <c r="G60" s="114"/>
      <c r="H60" s="106">
        <v>300000000</v>
      </c>
      <c r="I60" s="115"/>
      <c r="J60" s="115"/>
      <c r="K60" s="115"/>
      <c r="L60" s="115"/>
      <c r="M60" s="103"/>
      <c r="N60" s="103"/>
      <c r="O60" s="103"/>
      <c r="P60" s="103"/>
    </row>
    <row r="61" spans="2:16" ht="12.75">
      <c r="B61" s="120" t="s">
        <v>882</v>
      </c>
      <c r="C61" s="119" t="s">
        <v>439</v>
      </c>
      <c r="D61" s="112" t="s">
        <v>440</v>
      </c>
      <c r="E61" s="113" t="s">
        <v>372</v>
      </c>
      <c r="F61" s="113"/>
      <c r="G61" s="114"/>
      <c r="H61" s="106">
        <v>750000000</v>
      </c>
      <c r="I61" s="115"/>
      <c r="J61" s="115"/>
      <c r="K61" s="115"/>
      <c r="L61" s="115"/>
      <c r="M61" s="103"/>
      <c r="N61" s="103"/>
      <c r="O61" s="103"/>
      <c r="P61" s="103"/>
    </row>
    <row r="62" spans="2:16" ht="12.75">
      <c r="B62" s="120" t="s">
        <v>887</v>
      </c>
      <c r="C62" s="119" t="s">
        <v>449</v>
      </c>
      <c r="D62" s="112" t="s">
        <v>450</v>
      </c>
      <c r="E62" s="113" t="s">
        <v>372</v>
      </c>
      <c r="F62" s="113"/>
      <c r="G62" s="114"/>
      <c r="H62" s="106">
        <v>200000000</v>
      </c>
      <c r="I62" s="115"/>
      <c r="J62" s="115"/>
      <c r="K62" s="115"/>
      <c r="L62" s="115"/>
      <c r="M62" s="103"/>
      <c r="N62" s="103"/>
      <c r="O62" s="103"/>
      <c r="P62" s="103"/>
    </row>
    <row r="63" spans="2:16" ht="12.75">
      <c r="B63" s="120" t="s">
        <v>883</v>
      </c>
      <c r="C63" s="119" t="s">
        <v>441</v>
      </c>
      <c r="D63" s="112" t="s">
        <v>442</v>
      </c>
      <c r="E63" s="113" t="s">
        <v>387</v>
      </c>
      <c r="F63" s="113"/>
      <c r="G63" s="114"/>
      <c r="H63" s="116">
        <v>960650000</v>
      </c>
      <c r="I63" s="115"/>
      <c r="J63" s="115"/>
      <c r="K63" s="115"/>
      <c r="L63" s="115"/>
      <c r="M63" s="103"/>
      <c r="N63" s="103"/>
      <c r="O63" s="103"/>
      <c r="P63" s="103"/>
    </row>
    <row r="64" spans="2:16" ht="12.75">
      <c r="B64" s="120" t="s">
        <v>884</v>
      </c>
      <c r="C64" s="119" t="s">
        <v>443</v>
      </c>
      <c r="D64" s="112" t="s">
        <v>444</v>
      </c>
      <c r="E64" s="113" t="s">
        <v>387</v>
      </c>
      <c r="F64" s="113"/>
      <c r="G64" s="114"/>
      <c r="H64" s="106">
        <v>150000000</v>
      </c>
      <c r="I64" s="115"/>
      <c r="J64" s="115"/>
      <c r="K64" s="115"/>
      <c r="L64" s="115"/>
      <c r="M64" s="103"/>
      <c r="N64" s="103"/>
      <c r="O64" s="103"/>
      <c r="P64" s="103"/>
    </row>
    <row r="65" spans="2:16" ht="12.75">
      <c r="B65" s="120" t="s">
        <v>885</v>
      </c>
      <c r="C65" s="119" t="s">
        <v>445</v>
      </c>
      <c r="D65" s="112" t="s">
        <v>446</v>
      </c>
      <c r="E65" s="113" t="s">
        <v>387</v>
      </c>
      <c r="F65" s="113"/>
      <c r="G65" s="114"/>
      <c r="H65" s="106">
        <v>450000000</v>
      </c>
      <c r="I65" s="115"/>
      <c r="J65" s="115"/>
      <c r="K65" s="115"/>
      <c r="L65" s="115"/>
      <c r="M65" s="103"/>
      <c r="N65" s="103"/>
      <c r="O65" s="103"/>
      <c r="P65" s="103"/>
    </row>
    <row r="66" spans="2:16" ht="12.75">
      <c r="B66" s="120" t="s">
        <v>886</v>
      </c>
      <c r="C66" s="119" t="s">
        <v>447</v>
      </c>
      <c r="D66" s="112" t="s">
        <v>448</v>
      </c>
      <c r="E66" s="113" t="s">
        <v>387</v>
      </c>
      <c r="F66" s="113"/>
      <c r="G66" s="114"/>
      <c r="H66" s="106"/>
      <c r="I66" s="115"/>
      <c r="J66" s="115"/>
      <c r="K66" s="115"/>
      <c r="L66" s="115"/>
      <c r="M66" s="103"/>
      <c r="N66" s="103"/>
      <c r="O66" s="103"/>
      <c r="P66" s="103"/>
    </row>
    <row r="67" spans="2:16" ht="12.75">
      <c r="B67" s="120" t="s">
        <v>888</v>
      </c>
      <c r="C67" s="119" t="s">
        <v>451</v>
      </c>
      <c r="D67" s="112" t="s">
        <v>138</v>
      </c>
      <c r="E67" s="113" t="s">
        <v>372</v>
      </c>
      <c r="F67" s="113"/>
      <c r="G67" s="114"/>
      <c r="H67" s="106">
        <v>400000000</v>
      </c>
      <c r="I67" s="115"/>
      <c r="J67" s="115"/>
      <c r="K67" s="115"/>
      <c r="L67" s="115"/>
      <c r="M67" s="103"/>
      <c r="N67" s="103"/>
      <c r="O67" s="103"/>
      <c r="P67" s="103"/>
    </row>
    <row r="68" spans="2:16" ht="12.75">
      <c r="B68" s="120" t="s">
        <v>889</v>
      </c>
      <c r="C68" s="119" t="s">
        <v>452</v>
      </c>
      <c r="D68" s="112" t="s">
        <v>139</v>
      </c>
      <c r="E68" s="113" t="s">
        <v>372</v>
      </c>
      <c r="F68" s="113"/>
      <c r="G68" s="114"/>
      <c r="H68" s="106">
        <v>300000000</v>
      </c>
      <c r="I68" s="115"/>
      <c r="J68" s="115"/>
      <c r="K68" s="115"/>
      <c r="L68" s="115"/>
      <c r="M68" s="103"/>
      <c r="N68" s="103"/>
      <c r="O68" s="103"/>
      <c r="P68" s="103"/>
    </row>
    <row r="69" spans="2:16" ht="12.75">
      <c r="B69" s="120" t="s">
        <v>890</v>
      </c>
      <c r="C69" s="119" t="s">
        <v>453</v>
      </c>
      <c r="D69" s="112" t="s">
        <v>454</v>
      </c>
      <c r="E69" s="113" t="s">
        <v>372</v>
      </c>
      <c r="F69" s="113"/>
      <c r="G69" s="114"/>
      <c r="H69" s="106"/>
      <c r="I69" s="115"/>
      <c r="J69" s="115"/>
      <c r="K69" s="115"/>
      <c r="L69" s="115"/>
      <c r="M69" s="103"/>
      <c r="N69" s="103"/>
      <c r="O69" s="103"/>
      <c r="P69" s="103"/>
    </row>
    <row r="70" spans="2:16" ht="12.75">
      <c r="B70" s="120" t="s">
        <v>891</v>
      </c>
      <c r="C70" s="119" t="s">
        <v>767</v>
      </c>
      <c r="D70" s="112" t="s">
        <v>769</v>
      </c>
      <c r="E70" s="113" t="s">
        <v>387</v>
      </c>
      <c r="F70" s="113"/>
      <c r="G70" s="114"/>
      <c r="H70" s="106">
        <v>5000000</v>
      </c>
      <c r="I70" s="115"/>
      <c r="J70" s="115"/>
      <c r="K70" s="115"/>
      <c r="L70" s="115"/>
      <c r="M70" s="103"/>
      <c r="N70" s="103"/>
      <c r="O70" s="103"/>
      <c r="P70" s="103"/>
    </row>
    <row r="71" spans="2:16" ht="12.75">
      <c r="B71" s="120" t="s">
        <v>892</v>
      </c>
      <c r="C71" s="119" t="s">
        <v>768</v>
      </c>
      <c r="D71" s="112" t="s">
        <v>770</v>
      </c>
      <c r="E71" s="113" t="s">
        <v>387</v>
      </c>
      <c r="F71" s="113"/>
      <c r="G71" s="114"/>
      <c r="H71" s="106"/>
      <c r="I71" s="115"/>
      <c r="J71" s="115"/>
      <c r="K71" s="115"/>
      <c r="L71" s="115"/>
      <c r="M71" s="103"/>
      <c r="N71" s="103"/>
      <c r="O71" s="103"/>
      <c r="P71" s="103"/>
    </row>
    <row r="72" spans="2:16" ht="12.75">
      <c r="B72" s="120" t="s">
        <v>893</v>
      </c>
      <c r="C72" s="119" t="s">
        <v>771</v>
      </c>
      <c r="D72" s="112" t="s">
        <v>419</v>
      </c>
      <c r="E72" s="113" t="s">
        <v>387</v>
      </c>
      <c r="F72" s="113"/>
      <c r="G72" s="114"/>
      <c r="H72" s="106">
        <v>3000000</v>
      </c>
      <c r="I72" s="115"/>
      <c r="J72" s="115"/>
      <c r="K72" s="115"/>
      <c r="L72" s="115"/>
      <c r="M72" s="103"/>
      <c r="N72" s="103"/>
      <c r="O72" s="103"/>
      <c r="P72" s="103"/>
    </row>
    <row r="73" spans="2:16" ht="12.75">
      <c r="B73" s="120" t="s">
        <v>894</v>
      </c>
      <c r="C73" s="119" t="s">
        <v>772</v>
      </c>
      <c r="D73" s="112" t="s">
        <v>420</v>
      </c>
      <c r="E73" s="113" t="s">
        <v>387</v>
      </c>
      <c r="F73" s="113"/>
      <c r="G73" s="114"/>
      <c r="H73" s="106">
        <v>2000000</v>
      </c>
      <c r="I73" s="115"/>
      <c r="J73" s="115"/>
      <c r="K73" s="115"/>
      <c r="L73" s="115"/>
      <c r="M73" s="103"/>
      <c r="N73" s="103"/>
      <c r="O73" s="103"/>
      <c r="P73" s="103"/>
    </row>
    <row r="74" spans="2:16" ht="12.75">
      <c r="B74" s="120" t="s">
        <v>895</v>
      </c>
      <c r="C74" s="119" t="s">
        <v>766</v>
      </c>
      <c r="D74" s="112" t="s">
        <v>137</v>
      </c>
      <c r="E74" s="113" t="s">
        <v>387</v>
      </c>
      <c r="F74" s="113"/>
      <c r="G74" s="114"/>
      <c r="H74" s="106">
        <v>3490000</v>
      </c>
      <c r="I74" s="115"/>
      <c r="J74" s="115"/>
      <c r="K74" s="115"/>
      <c r="L74" s="115"/>
      <c r="M74" s="103"/>
      <c r="N74" s="103"/>
      <c r="O74" s="103"/>
      <c r="P74" s="103"/>
    </row>
    <row r="75" spans="2:16" ht="12.75">
      <c r="B75" s="120" t="s">
        <v>896</v>
      </c>
      <c r="C75" s="119" t="s">
        <v>773</v>
      </c>
      <c r="D75" s="112" t="s">
        <v>455</v>
      </c>
      <c r="E75" s="113" t="s">
        <v>372</v>
      </c>
      <c r="F75" s="113"/>
      <c r="G75" s="114"/>
      <c r="H75" s="106"/>
      <c r="I75" s="115"/>
      <c r="J75" s="115"/>
      <c r="K75" s="115"/>
      <c r="L75" s="115"/>
      <c r="M75" s="103"/>
      <c r="N75" s="103"/>
      <c r="O75" s="103"/>
      <c r="P75" s="103"/>
    </row>
    <row r="76" spans="2:16" ht="12.75">
      <c r="B76" s="120" t="s">
        <v>897</v>
      </c>
      <c r="C76" s="119" t="s">
        <v>851</v>
      </c>
      <c r="D76" s="112" t="s">
        <v>1005</v>
      </c>
      <c r="E76" s="113" t="s">
        <v>372</v>
      </c>
      <c r="F76" s="113"/>
      <c r="G76" s="114"/>
      <c r="H76" s="106"/>
      <c r="I76" s="115"/>
      <c r="J76" s="115"/>
      <c r="K76" s="115"/>
      <c r="L76" s="115"/>
      <c r="M76" s="103"/>
      <c r="N76" s="103"/>
      <c r="O76" s="103"/>
      <c r="P76" s="103"/>
    </row>
    <row r="77" spans="2:16" ht="12.75">
      <c r="B77" s="120" t="s">
        <v>897</v>
      </c>
      <c r="C77" s="119" t="s">
        <v>852</v>
      </c>
      <c r="D77" s="112" t="s">
        <v>854</v>
      </c>
      <c r="E77" s="113" t="s">
        <v>372</v>
      </c>
      <c r="F77" s="113"/>
      <c r="G77" s="114"/>
      <c r="H77" s="106"/>
      <c r="I77" s="115"/>
      <c r="J77" s="115"/>
      <c r="K77" s="115"/>
      <c r="L77" s="115"/>
      <c r="M77" s="103"/>
      <c r="N77" s="103"/>
      <c r="O77" s="103"/>
      <c r="P77" s="103"/>
    </row>
    <row r="78" spans="2:16" ht="12.75">
      <c r="B78" s="120" t="s">
        <v>897</v>
      </c>
      <c r="C78" s="119" t="s">
        <v>1006</v>
      </c>
      <c r="D78" s="112" t="s">
        <v>853</v>
      </c>
      <c r="E78" s="113" t="s">
        <v>372</v>
      </c>
      <c r="F78" s="113"/>
      <c r="G78" s="114"/>
      <c r="H78" s="106">
        <v>12000000</v>
      </c>
      <c r="I78" s="115"/>
      <c r="J78" s="115"/>
      <c r="K78" s="115"/>
      <c r="L78" s="115"/>
      <c r="M78" s="103"/>
      <c r="N78" s="103"/>
      <c r="O78" s="103"/>
      <c r="P78" s="103"/>
    </row>
    <row r="79" spans="2:16" ht="12.75">
      <c r="B79" s="120" t="s">
        <v>898</v>
      </c>
      <c r="C79" s="119" t="s">
        <v>774</v>
      </c>
      <c r="D79" s="112" t="s">
        <v>154</v>
      </c>
      <c r="E79" s="113" t="s">
        <v>372</v>
      </c>
      <c r="F79" s="113"/>
      <c r="G79" s="114"/>
      <c r="H79" s="106"/>
      <c r="I79" s="115"/>
      <c r="J79" s="115"/>
      <c r="K79" s="115"/>
      <c r="L79" s="115"/>
      <c r="M79" s="103"/>
      <c r="N79" s="103"/>
      <c r="O79" s="103"/>
      <c r="P79" s="103"/>
    </row>
    <row r="80" spans="2:16" ht="12.75">
      <c r="B80" s="120" t="s">
        <v>899</v>
      </c>
      <c r="C80" s="119" t="s">
        <v>775</v>
      </c>
      <c r="D80" s="112" t="s">
        <v>456</v>
      </c>
      <c r="E80" s="113" t="s">
        <v>372</v>
      </c>
      <c r="F80" s="113"/>
      <c r="G80" s="114"/>
      <c r="H80" s="106"/>
      <c r="I80" s="115"/>
      <c r="J80" s="115"/>
      <c r="K80" s="115"/>
      <c r="L80" s="115"/>
      <c r="M80" s="103"/>
      <c r="N80" s="103"/>
      <c r="O80" s="103"/>
      <c r="P80" s="103"/>
    </row>
    <row r="81" spans="2:16" ht="12.75">
      <c r="B81" s="120" t="s">
        <v>900</v>
      </c>
      <c r="C81" s="119" t="s">
        <v>457</v>
      </c>
      <c r="D81" s="112" t="s">
        <v>793</v>
      </c>
      <c r="E81" s="113" t="s">
        <v>387</v>
      </c>
      <c r="F81" s="113"/>
      <c r="G81" s="114"/>
      <c r="H81" s="106">
        <v>30000000</v>
      </c>
      <c r="I81" s="115"/>
      <c r="J81" s="115"/>
      <c r="K81" s="115"/>
      <c r="L81" s="115"/>
      <c r="M81" s="103"/>
      <c r="N81" s="103"/>
      <c r="O81" s="103"/>
      <c r="P81" s="103"/>
    </row>
    <row r="82" spans="2:16" ht="12.75">
      <c r="B82" s="120" t="s">
        <v>900</v>
      </c>
      <c r="C82" s="119" t="s">
        <v>458</v>
      </c>
      <c r="D82" s="112" t="s">
        <v>806</v>
      </c>
      <c r="E82" s="113" t="s">
        <v>387</v>
      </c>
      <c r="F82" s="113"/>
      <c r="G82" s="114"/>
      <c r="H82" s="106">
        <v>120000000</v>
      </c>
      <c r="I82" s="115"/>
      <c r="J82" s="115"/>
      <c r="K82" s="115"/>
      <c r="L82" s="115"/>
      <c r="M82" s="103"/>
      <c r="N82" s="103"/>
      <c r="O82" s="103"/>
      <c r="P82" s="103"/>
    </row>
    <row r="83" spans="2:16" ht="12.75">
      <c r="B83" s="120" t="s">
        <v>900</v>
      </c>
      <c r="C83" s="119" t="s">
        <v>459</v>
      </c>
      <c r="D83" s="112" t="s">
        <v>807</v>
      </c>
      <c r="E83" s="113" t="s">
        <v>387</v>
      </c>
      <c r="F83" s="113"/>
      <c r="G83" s="114"/>
      <c r="H83" s="106">
        <v>-50000000</v>
      </c>
      <c r="I83" s="115"/>
      <c r="J83" s="115"/>
      <c r="K83" s="115"/>
      <c r="L83" s="115"/>
      <c r="M83" s="103"/>
      <c r="N83" s="103"/>
      <c r="O83" s="103"/>
      <c r="P83" s="103"/>
    </row>
    <row r="84" spans="2:16" ht="12.75">
      <c r="B84" s="120" t="s">
        <v>900</v>
      </c>
      <c r="C84" s="119" t="s">
        <v>460</v>
      </c>
      <c r="D84" s="112" t="s">
        <v>805</v>
      </c>
      <c r="E84" s="113" t="s">
        <v>387</v>
      </c>
      <c r="F84" s="113"/>
      <c r="G84" s="114"/>
      <c r="H84" s="106">
        <v>-40000000</v>
      </c>
      <c r="I84" s="115"/>
      <c r="J84" s="115"/>
      <c r="K84" s="115"/>
      <c r="L84" s="115"/>
      <c r="M84" s="103"/>
      <c r="N84" s="103"/>
      <c r="O84" s="103"/>
      <c r="P84" s="103"/>
    </row>
    <row r="85" spans="2:16" ht="12.75">
      <c r="B85" s="120" t="s">
        <v>900</v>
      </c>
      <c r="C85" s="119" t="s">
        <v>461</v>
      </c>
      <c r="D85" s="112" t="s">
        <v>804</v>
      </c>
      <c r="E85" s="113" t="s">
        <v>387</v>
      </c>
      <c r="F85" s="113"/>
      <c r="G85" s="114"/>
      <c r="H85" s="106">
        <v>50000000</v>
      </c>
      <c r="I85" s="115"/>
      <c r="J85" s="115"/>
      <c r="K85" s="115"/>
      <c r="L85" s="115"/>
      <c r="M85" s="103"/>
      <c r="N85" s="103"/>
      <c r="O85" s="103"/>
      <c r="P85" s="103"/>
    </row>
    <row r="86" spans="2:16" ht="12.75">
      <c r="B86" s="120" t="s">
        <v>900</v>
      </c>
      <c r="C86" s="119" t="s">
        <v>462</v>
      </c>
      <c r="D86" s="112" t="s">
        <v>813</v>
      </c>
      <c r="E86" s="113" t="s">
        <v>387</v>
      </c>
      <c r="F86" s="113"/>
      <c r="G86" s="114"/>
      <c r="H86" s="106">
        <v>-100000000</v>
      </c>
      <c r="I86" s="115"/>
      <c r="J86" s="115"/>
      <c r="K86" s="115"/>
      <c r="L86" s="115"/>
      <c r="M86" s="103"/>
      <c r="N86" s="103"/>
      <c r="O86" s="103"/>
      <c r="P86" s="103"/>
    </row>
    <row r="87" spans="2:16" ht="12.75">
      <c r="B87" s="120" t="s">
        <v>900</v>
      </c>
      <c r="C87" s="119" t="s">
        <v>463</v>
      </c>
      <c r="D87" s="112" t="s">
        <v>814</v>
      </c>
      <c r="E87" s="113" t="s">
        <v>387</v>
      </c>
      <c r="F87" s="113"/>
      <c r="G87" s="114"/>
      <c r="H87" s="106">
        <v>50000000</v>
      </c>
      <c r="I87" s="115"/>
      <c r="J87" s="115"/>
      <c r="K87" s="115"/>
      <c r="L87" s="115"/>
      <c r="M87" s="103"/>
      <c r="N87" s="103"/>
      <c r="O87" s="103"/>
      <c r="P87" s="103"/>
    </row>
    <row r="88" spans="2:16" ht="12.75">
      <c r="B88" s="120" t="s">
        <v>900</v>
      </c>
      <c r="C88" s="119" t="s">
        <v>464</v>
      </c>
      <c r="D88" s="112" t="s">
        <v>812</v>
      </c>
      <c r="E88" s="113" t="s">
        <v>387</v>
      </c>
      <c r="F88" s="113"/>
      <c r="G88" s="114"/>
      <c r="H88" s="106">
        <v>-40000000</v>
      </c>
      <c r="I88" s="115"/>
      <c r="J88" s="115"/>
      <c r="K88" s="115"/>
      <c r="L88" s="115"/>
      <c r="M88" s="103"/>
      <c r="N88" s="103"/>
      <c r="O88" s="103"/>
      <c r="P88" s="103"/>
    </row>
    <row r="89" spans="2:16" ht="12.75">
      <c r="B89" s="120" t="s">
        <v>900</v>
      </c>
      <c r="C89" s="119" t="s">
        <v>465</v>
      </c>
      <c r="D89" s="112" t="s">
        <v>810</v>
      </c>
      <c r="E89" s="113" t="s">
        <v>387</v>
      </c>
      <c r="F89" s="113"/>
      <c r="G89" s="114"/>
      <c r="H89" s="106">
        <v>15000000</v>
      </c>
      <c r="I89" s="115"/>
      <c r="J89" s="115"/>
      <c r="K89" s="115"/>
      <c r="L89" s="115"/>
      <c r="M89" s="103"/>
      <c r="N89" s="103"/>
      <c r="O89" s="103"/>
      <c r="P89" s="103"/>
    </row>
    <row r="90" spans="2:16" ht="12.75">
      <c r="B90" s="120" t="s">
        <v>900</v>
      </c>
      <c r="C90" s="119" t="s">
        <v>466</v>
      </c>
      <c r="D90" s="112" t="s">
        <v>809</v>
      </c>
      <c r="E90" s="113" t="s">
        <v>387</v>
      </c>
      <c r="F90" s="113"/>
      <c r="G90" s="114"/>
      <c r="H90" s="106">
        <v>40000000</v>
      </c>
      <c r="I90" s="115"/>
      <c r="J90" s="115"/>
      <c r="K90" s="115"/>
      <c r="L90" s="115"/>
      <c r="M90" s="103"/>
      <c r="N90" s="103"/>
      <c r="O90" s="103"/>
      <c r="P90" s="103"/>
    </row>
    <row r="91" spans="2:16" ht="12.75">
      <c r="B91" s="120" t="s">
        <v>900</v>
      </c>
      <c r="C91" s="119" t="s">
        <v>467</v>
      </c>
      <c r="D91" s="112" t="s">
        <v>815</v>
      </c>
      <c r="E91" s="113" t="s">
        <v>387</v>
      </c>
      <c r="F91" s="113"/>
      <c r="G91" s="114"/>
      <c r="H91" s="106">
        <v>150000000</v>
      </c>
      <c r="I91" s="115"/>
      <c r="J91" s="115"/>
      <c r="K91" s="115"/>
      <c r="L91" s="115"/>
      <c r="M91" s="103"/>
      <c r="N91" s="103"/>
      <c r="O91" s="103"/>
      <c r="P91" s="103"/>
    </row>
    <row r="92" spans="2:16" ht="12.75">
      <c r="B92" s="120" t="s">
        <v>900</v>
      </c>
      <c r="C92" s="119" t="s">
        <v>468</v>
      </c>
      <c r="D92" s="112" t="s">
        <v>818</v>
      </c>
      <c r="E92" s="113" t="s">
        <v>387</v>
      </c>
      <c r="F92" s="113"/>
      <c r="G92" s="114"/>
      <c r="H92" s="106">
        <v>65000000</v>
      </c>
      <c r="I92" s="115"/>
      <c r="J92" s="115"/>
      <c r="K92" s="115"/>
      <c r="L92" s="115"/>
      <c r="M92" s="103"/>
      <c r="N92" s="103"/>
      <c r="O92" s="103"/>
      <c r="P92" s="103"/>
    </row>
    <row r="93" spans="2:16" ht="12.75">
      <c r="B93" s="120" t="s">
        <v>900</v>
      </c>
      <c r="C93" s="119" t="s">
        <v>469</v>
      </c>
      <c r="D93" s="112" t="s">
        <v>817</v>
      </c>
      <c r="E93" s="113" t="s">
        <v>387</v>
      </c>
      <c r="F93" s="113"/>
      <c r="G93" s="114"/>
      <c r="H93" s="106"/>
      <c r="I93" s="115"/>
      <c r="J93" s="115"/>
      <c r="K93" s="115"/>
      <c r="L93" s="115"/>
      <c r="M93" s="103"/>
      <c r="N93" s="103"/>
      <c r="O93" s="103"/>
      <c r="P93" s="103"/>
    </row>
    <row r="94" spans="2:16" ht="12.75">
      <c r="B94" s="120" t="s">
        <v>900</v>
      </c>
      <c r="C94" s="119" t="s">
        <v>470</v>
      </c>
      <c r="D94" s="112" t="s">
        <v>808</v>
      </c>
      <c r="E94" s="113" t="s">
        <v>387</v>
      </c>
      <c r="F94" s="113"/>
      <c r="G94" s="114"/>
      <c r="H94" s="106">
        <v>150000000</v>
      </c>
      <c r="I94" s="115"/>
      <c r="J94" s="115"/>
      <c r="K94" s="115"/>
      <c r="L94" s="115"/>
      <c r="M94" s="103"/>
      <c r="N94" s="103"/>
      <c r="O94" s="103"/>
      <c r="P94" s="103"/>
    </row>
    <row r="95" spans="2:16" ht="12.75">
      <c r="B95" s="120" t="s">
        <v>901</v>
      </c>
      <c r="C95" s="119" t="s">
        <v>471</v>
      </c>
      <c r="D95" s="112" t="s">
        <v>819</v>
      </c>
      <c r="E95" s="113" t="s">
        <v>387</v>
      </c>
      <c r="F95" s="113"/>
      <c r="G95" s="114"/>
      <c r="H95" s="106">
        <v>50000000</v>
      </c>
      <c r="I95" s="115"/>
      <c r="J95" s="115"/>
      <c r="K95" s="115"/>
      <c r="L95" s="115"/>
      <c r="M95" s="103"/>
      <c r="N95" s="103"/>
      <c r="O95" s="103"/>
      <c r="P95" s="103"/>
    </row>
    <row r="96" spans="2:16" ht="12.75">
      <c r="B96" s="120" t="s">
        <v>901</v>
      </c>
      <c r="C96" s="119" t="s">
        <v>472</v>
      </c>
      <c r="D96" s="112" t="s">
        <v>820</v>
      </c>
      <c r="E96" s="113" t="s">
        <v>387</v>
      </c>
      <c r="F96" s="113"/>
      <c r="G96" s="114"/>
      <c r="H96" s="106">
        <v>100000000</v>
      </c>
      <c r="I96" s="115"/>
      <c r="J96" s="115"/>
      <c r="K96" s="115"/>
      <c r="L96" s="115"/>
      <c r="M96" s="103"/>
      <c r="N96" s="103"/>
      <c r="O96" s="103"/>
      <c r="P96" s="103"/>
    </row>
    <row r="97" spans="2:16" ht="12.75">
      <c r="B97" s="120" t="s">
        <v>901</v>
      </c>
      <c r="C97" s="119" t="s">
        <v>473</v>
      </c>
      <c r="D97" s="112" t="s">
        <v>821</v>
      </c>
      <c r="E97" s="113" t="s">
        <v>387</v>
      </c>
      <c r="F97" s="113"/>
      <c r="G97" s="114"/>
      <c r="H97" s="106">
        <v>36000000</v>
      </c>
      <c r="I97" s="115"/>
      <c r="J97" s="115"/>
      <c r="K97" s="115"/>
      <c r="L97" s="115"/>
      <c r="M97" s="103"/>
      <c r="N97" s="103"/>
      <c r="O97" s="103"/>
      <c r="P97" s="103"/>
    </row>
    <row r="98" spans="2:16" ht="12.75">
      <c r="B98" s="120" t="s">
        <v>901</v>
      </c>
      <c r="C98" s="119" t="s">
        <v>474</v>
      </c>
      <c r="D98" s="112" t="s">
        <v>822</v>
      </c>
      <c r="E98" s="113" t="s">
        <v>387</v>
      </c>
      <c r="F98" s="113"/>
      <c r="G98" s="114"/>
      <c r="H98" s="106">
        <v>50000000</v>
      </c>
      <c r="I98" s="115"/>
      <c r="J98" s="115"/>
      <c r="K98" s="115"/>
      <c r="L98" s="115"/>
      <c r="M98" s="103"/>
      <c r="N98" s="103"/>
      <c r="O98" s="103"/>
      <c r="P98" s="103"/>
    </row>
    <row r="99" spans="2:16" ht="12.75">
      <c r="B99" s="120" t="s">
        <v>901</v>
      </c>
      <c r="C99" s="119" t="s">
        <v>475</v>
      </c>
      <c r="D99" s="112" t="s">
        <v>823</v>
      </c>
      <c r="E99" s="113" t="s">
        <v>387</v>
      </c>
      <c r="F99" s="113"/>
      <c r="G99" s="114"/>
      <c r="H99" s="106">
        <v>20000000</v>
      </c>
      <c r="I99" s="115"/>
      <c r="J99" s="115"/>
      <c r="K99" s="115"/>
      <c r="L99" s="115"/>
      <c r="M99" s="103"/>
      <c r="N99" s="103"/>
      <c r="O99" s="103"/>
      <c r="P99" s="103"/>
    </row>
    <row r="100" spans="2:16" ht="12.75">
      <c r="B100" s="120" t="s">
        <v>901</v>
      </c>
      <c r="C100" s="119" t="s">
        <v>476</v>
      </c>
      <c r="D100" s="112" t="s">
        <v>824</v>
      </c>
      <c r="E100" s="113" t="s">
        <v>387</v>
      </c>
      <c r="F100" s="113"/>
      <c r="G100" s="114"/>
      <c r="H100" s="106">
        <v>15000000</v>
      </c>
      <c r="I100" s="115"/>
      <c r="J100" s="115"/>
      <c r="K100" s="115"/>
      <c r="L100" s="115"/>
      <c r="M100" s="103"/>
      <c r="N100" s="103"/>
      <c r="O100" s="103"/>
      <c r="P100" s="103"/>
    </row>
    <row r="101" spans="2:16" ht="12.75">
      <c r="B101" s="118" t="s">
        <v>902</v>
      </c>
      <c r="C101" s="119" t="s">
        <v>155</v>
      </c>
      <c r="D101" s="112" t="s">
        <v>156</v>
      </c>
      <c r="E101" s="113" t="s">
        <v>387</v>
      </c>
      <c r="F101" s="113"/>
      <c r="G101" s="114"/>
      <c r="H101" s="106">
        <v>3000000</v>
      </c>
      <c r="I101" s="115"/>
      <c r="J101" s="115"/>
      <c r="K101" s="115"/>
      <c r="L101" s="115"/>
      <c r="M101" s="103"/>
      <c r="N101" s="103"/>
      <c r="O101" s="103"/>
      <c r="P101" s="103"/>
    </row>
    <row r="102" spans="2:16" ht="12.75">
      <c r="B102" s="118" t="s">
        <v>902</v>
      </c>
      <c r="C102" s="119" t="s">
        <v>157</v>
      </c>
      <c r="D102" s="112" t="s">
        <v>158</v>
      </c>
      <c r="E102" s="113" t="s">
        <v>387</v>
      </c>
      <c r="F102" s="113"/>
      <c r="G102" s="114"/>
      <c r="H102" s="106">
        <v>2500000</v>
      </c>
      <c r="I102" s="115"/>
      <c r="J102" s="115"/>
      <c r="K102" s="115"/>
      <c r="L102" s="115"/>
      <c r="M102" s="103"/>
      <c r="N102" s="103"/>
      <c r="O102" s="103"/>
      <c r="P102" s="103"/>
    </row>
    <row r="103" spans="2:16" ht="12.75">
      <c r="B103" s="118" t="s">
        <v>902</v>
      </c>
      <c r="C103" s="119" t="s">
        <v>159</v>
      </c>
      <c r="D103" s="112" t="s">
        <v>160</v>
      </c>
      <c r="E103" s="113" t="s">
        <v>387</v>
      </c>
      <c r="F103" s="113"/>
      <c r="G103" s="114"/>
      <c r="H103" s="106"/>
      <c r="I103" s="115"/>
      <c r="J103" s="115"/>
      <c r="K103" s="115"/>
      <c r="L103" s="115"/>
      <c r="M103" s="103"/>
      <c r="N103" s="103"/>
      <c r="O103" s="103"/>
      <c r="P103" s="103"/>
    </row>
    <row r="104" spans="2:16" ht="12.75">
      <c r="B104" s="118" t="s">
        <v>902</v>
      </c>
      <c r="C104" s="119" t="s">
        <v>477</v>
      </c>
      <c r="D104" s="112" t="s">
        <v>478</v>
      </c>
      <c r="E104" s="113" t="s">
        <v>387</v>
      </c>
      <c r="F104" s="113"/>
      <c r="G104" s="114"/>
      <c r="H104" s="106"/>
      <c r="I104" s="115"/>
      <c r="J104" s="115"/>
      <c r="K104" s="115"/>
      <c r="L104" s="115"/>
      <c r="M104" s="103"/>
      <c r="N104" s="103"/>
      <c r="O104" s="103"/>
      <c r="P104" s="103"/>
    </row>
    <row r="105" spans="2:16" ht="12.75">
      <c r="B105" s="118" t="s">
        <v>902</v>
      </c>
      <c r="C105" s="122" t="s">
        <v>479</v>
      </c>
      <c r="D105" s="112" t="s">
        <v>480</v>
      </c>
      <c r="E105" s="113" t="s">
        <v>387</v>
      </c>
      <c r="F105" s="113"/>
      <c r="G105" s="114"/>
      <c r="H105" s="106"/>
      <c r="I105" s="115"/>
      <c r="J105" s="115"/>
      <c r="K105" s="115"/>
      <c r="L105" s="115"/>
      <c r="M105" s="103"/>
      <c r="N105" s="103"/>
      <c r="O105" s="103"/>
      <c r="P105" s="103"/>
    </row>
    <row r="106" spans="2:16" ht="12.75">
      <c r="B106" s="118" t="s">
        <v>902</v>
      </c>
      <c r="C106" s="119" t="s">
        <v>481</v>
      </c>
      <c r="D106" s="112" t="s">
        <v>161</v>
      </c>
      <c r="E106" s="113" t="s">
        <v>387</v>
      </c>
      <c r="F106" s="113"/>
      <c r="G106" s="114"/>
      <c r="H106" s="106"/>
      <c r="I106" s="115"/>
      <c r="J106" s="115"/>
      <c r="K106" s="115"/>
      <c r="L106" s="115"/>
      <c r="M106" s="103"/>
      <c r="N106" s="103"/>
      <c r="O106" s="103"/>
      <c r="P106" s="103"/>
    </row>
    <row r="107" spans="2:16" ht="12.75">
      <c r="B107" s="118" t="s">
        <v>902</v>
      </c>
      <c r="C107" s="119" t="s">
        <v>482</v>
      </c>
      <c r="D107" s="112" t="s">
        <v>483</v>
      </c>
      <c r="E107" s="113" t="s">
        <v>387</v>
      </c>
      <c r="F107" s="113"/>
      <c r="G107" s="114"/>
      <c r="H107" s="106">
        <v>5000000</v>
      </c>
      <c r="I107" s="115"/>
      <c r="J107" s="115"/>
      <c r="K107" s="115"/>
      <c r="L107" s="115"/>
      <c r="M107" s="103"/>
      <c r="N107" s="103"/>
      <c r="O107" s="103"/>
      <c r="P107" s="103"/>
    </row>
    <row r="108" spans="2:16" ht="12.75">
      <c r="B108" s="118" t="s">
        <v>902</v>
      </c>
      <c r="C108" s="119" t="s">
        <v>484</v>
      </c>
      <c r="D108" s="112" t="s">
        <v>485</v>
      </c>
      <c r="E108" s="113" t="s">
        <v>387</v>
      </c>
      <c r="F108" s="113"/>
      <c r="G108" s="114"/>
      <c r="H108" s="106">
        <v>12000000</v>
      </c>
      <c r="I108" s="115"/>
      <c r="J108" s="115"/>
      <c r="K108" s="115"/>
      <c r="L108" s="115"/>
      <c r="M108" s="103"/>
      <c r="N108" s="103"/>
      <c r="O108" s="103"/>
      <c r="P108" s="103"/>
    </row>
    <row r="109" spans="2:16" ht="12.75">
      <c r="B109" s="118" t="s">
        <v>902</v>
      </c>
      <c r="C109" s="119" t="s">
        <v>486</v>
      </c>
      <c r="D109" s="112" t="s">
        <v>162</v>
      </c>
      <c r="E109" s="113" t="s">
        <v>387</v>
      </c>
      <c r="F109" s="113"/>
      <c r="G109" s="114"/>
      <c r="H109" s="106">
        <v>8000000</v>
      </c>
      <c r="I109" s="115"/>
      <c r="J109" s="115"/>
      <c r="K109" s="115"/>
      <c r="L109" s="115"/>
      <c r="M109" s="103"/>
      <c r="N109" s="103"/>
      <c r="O109" s="103"/>
      <c r="P109" s="103"/>
    </row>
    <row r="110" spans="2:16" ht="12.75">
      <c r="B110" s="118" t="s">
        <v>902</v>
      </c>
      <c r="C110" s="119" t="s">
        <v>488</v>
      </c>
      <c r="D110" s="112" t="s">
        <v>487</v>
      </c>
      <c r="E110" s="113" t="s">
        <v>387</v>
      </c>
      <c r="F110" s="113"/>
      <c r="G110" s="114"/>
      <c r="H110" s="106"/>
      <c r="I110" s="115"/>
      <c r="J110" s="115"/>
      <c r="K110" s="115"/>
      <c r="L110" s="115"/>
      <c r="M110" s="103"/>
      <c r="N110" s="103"/>
      <c r="O110" s="103"/>
      <c r="P110" s="103"/>
    </row>
    <row r="111" spans="2:16" ht="12.75">
      <c r="B111" s="118" t="s">
        <v>902</v>
      </c>
      <c r="C111" s="119" t="s">
        <v>489</v>
      </c>
      <c r="D111" s="112" t="s">
        <v>490</v>
      </c>
      <c r="E111" s="113" t="s">
        <v>387</v>
      </c>
      <c r="F111" s="113"/>
      <c r="G111" s="114"/>
      <c r="H111" s="106"/>
      <c r="I111" s="115"/>
      <c r="J111" s="115"/>
      <c r="K111" s="115"/>
      <c r="L111" s="115"/>
      <c r="M111" s="103"/>
      <c r="N111" s="103"/>
      <c r="O111" s="103"/>
      <c r="P111" s="103"/>
    </row>
    <row r="112" spans="2:16" ht="12.75">
      <c r="B112" s="118" t="s">
        <v>902</v>
      </c>
      <c r="C112" s="119" t="s">
        <v>491</v>
      </c>
      <c r="D112" s="112" t="s">
        <v>492</v>
      </c>
      <c r="E112" s="113" t="s">
        <v>387</v>
      </c>
      <c r="F112" s="113"/>
      <c r="G112" s="114"/>
      <c r="H112" s="106"/>
      <c r="I112" s="115"/>
      <c r="J112" s="115"/>
      <c r="K112" s="115"/>
      <c r="L112" s="115"/>
      <c r="M112" s="103"/>
      <c r="N112" s="103"/>
      <c r="O112" s="103"/>
      <c r="P112" s="103"/>
    </row>
    <row r="113" spans="2:16" ht="12.75">
      <c r="B113" s="118" t="s">
        <v>902</v>
      </c>
      <c r="C113" s="119" t="s">
        <v>493</v>
      </c>
      <c r="D113" s="112" t="s">
        <v>494</v>
      </c>
      <c r="E113" s="113" t="s">
        <v>387</v>
      </c>
      <c r="F113" s="113"/>
      <c r="G113" s="114"/>
      <c r="H113" s="106"/>
      <c r="I113" s="115"/>
      <c r="J113" s="115"/>
      <c r="K113" s="115"/>
      <c r="L113" s="115"/>
      <c r="M113" s="103"/>
      <c r="N113" s="103"/>
      <c r="O113" s="103"/>
      <c r="P113" s="103"/>
    </row>
    <row r="114" spans="2:16" ht="12.75">
      <c r="B114" s="118" t="s">
        <v>903</v>
      </c>
      <c r="C114" s="119" t="s">
        <v>780</v>
      </c>
      <c r="D114" s="112" t="s">
        <v>496</v>
      </c>
      <c r="E114" s="113" t="s">
        <v>387</v>
      </c>
      <c r="F114" s="113"/>
      <c r="G114" s="114"/>
      <c r="H114" s="106">
        <v>70000000</v>
      </c>
      <c r="I114" s="115"/>
      <c r="J114" s="115"/>
      <c r="K114" s="115"/>
      <c r="L114" s="115"/>
      <c r="M114" s="103"/>
      <c r="N114" s="103"/>
      <c r="O114" s="103"/>
      <c r="P114" s="103"/>
    </row>
    <row r="115" spans="2:16" ht="12.75">
      <c r="B115" s="118" t="s">
        <v>904</v>
      </c>
      <c r="C115" s="119" t="s">
        <v>497</v>
      </c>
      <c r="D115" s="112" t="s">
        <v>498</v>
      </c>
      <c r="E115" s="113" t="s">
        <v>387</v>
      </c>
      <c r="F115" s="113"/>
      <c r="G115" s="114"/>
      <c r="H115" s="106">
        <v>31543000</v>
      </c>
      <c r="I115" s="115"/>
      <c r="J115" s="115"/>
      <c r="K115" s="115"/>
      <c r="L115" s="115"/>
      <c r="M115" s="103"/>
      <c r="N115" s="103"/>
      <c r="O115" s="103"/>
      <c r="P115" s="103"/>
    </row>
    <row r="116" spans="2:16" ht="12.75">
      <c r="B116" s="118" t="s">
        <v>905</v>
      </c>
      <c r="C116" s="119" t="s">
        <v>499</v>
      </c>
      <c r="D116" s="112" t="s">
        <v>500</v>
      </c>
      <c r="E116" s="113" t="s">
        <v>387</v>
      </c>
      <c r="F116" s="113"/>
      <c r="G116" s="114"/>
      <c r="H116" s="106">
        <v>2550000</v>
      </c>
      <c r="I116" s="115"/>
      <c r="J116" s="115"/>
      <c r="K116" s="115"/>
      <c r="L116" s="115"/>
      <c r="M116" s="103"/>
      <c r="N116" s="103"/>
      <c r="O116" s="103"/>
      <c r="P116" s="103"/>
    </row>
    <row r="117" spans="2:16" ht="12.75">
      <c r="B117" s="120" t="s">
        <v>906</v>
      </c>
      <c r="C117" s="119" t="s">
        <v>501</v>
      </c>
      <c r="D117" s="112" t="s">
        <v>502</v>
      </c>
      <c r="E117" s="113" t="s">
        <v>387</v>
      </c>
      <c r="F117" s="113"/>
      <c r="G117" s="114"/>
      <c r="H117" s="106">
        <v>96940214</v>
      </c>
      <c r="I117" s="115"/>
      <c r="J117" s="115"/>
      <c r="K117" s="115"/>
      <c r="L117" s="115"/>
      <c r="M117" s="103"/>
      <c r="N117" s="103"/>
      <c r="O117" s="103"/>
      <c r="P117" s="103"/>
    </row>
    <row r="118" spans="2:16" ht="12.75">
      <c r="B118" s="118" t="s">
        <v>907</v>
      </c>
      <c r="C118" s="121" t="s">
        <v>136</v>
      </c>
      <c r="D118" s="112" t="s">
        <v>163</v>
      </c>
      <c r="E118" s="113" t="s">
        <v>387</v>
      </c>
      <c r="F118" s="113"/>
      <c r="G118" s="114"/>
      <c r="H118" s="106">
        <v>-20000000</v>
      </c>
      <c r="I118" s="115"/>
      <c r="J118" s="115"/>
      <c r="K118" s="115"/>
      <c r="L118" s="115"/>
      <c r="M118" s="103"/>
      <c r="N118" s="103"/>
      <c r="O118" s="103"/>
      <c r="P118" s="103"/>
    </row>
    <row r="119" spans="2:16" ht="12.75">
      <c r="B119" s="118" t="s">
        <v>908</v>
      </c>
      <c r="C119" s="119" t="s">
        <v>164</v>
      </c>
      <c r="D119" s="112" t="s">
        <v>165</v>
      </c>
      <c r="E119" s="113" t="s">
        <v>387</v>
      </c>
      <c r="F119" s="113"/>
      <c r="G119" s="114"/>
      <c r="H119" s="106">
        <v>99357000</v>
      </c>
      <c r="I119" s="115"/>
      <c r="J119" s="115"/>
      <c r="K119" s="115"/>
      <c r="L119" s="115"/>
      <c r="M119" s="103"/>
      <c r="N119" s="103"/>
      <c r="O119" s="103"/>
      <c r="P119" s="103"/>
    </row>
    <row r="120" spans="2:16" ht="12.75">
      <c r="B120" s="120" t="s">
        <v>909</v>
      </c>
      <c r="C120" s="119" t="s">
        <v>166</v>
      </c>
      <c r="D120" s="112" t="s">
        <v>167</v>
      </c>
      <c r="E120" s="113" t="s">
        <v>387</v>
      </c>
      <c r="F120" s="113"/>
      <c r="G120" s="114"/>
      <c r="H120" s="106">
        <v>30000000</v>
      </c>
      <c r="I120" s="115"/>
      <c r="J120" s="115"/>
      <c r="K120" s="115"/>
      <c r="L120" s="115"/>
      <c r="M120" s="103"/>
      <c r="N120" s="103"/>
      <c r="O120" s="103"/>
      <c r="P120" s="103"/>
    </row>
    <row r="121" spans="2:16" ht="12.75">
      <c r="B121" s="120" t="s">
        <v>909</v>
      </c>
      <c r="C121" s="119" t="s">
        <v>168</v>
      </c>
      <c r="D121" s="112" t="s">
        <v>169</v>
      </c>
      <c r="E121" s="113" t="s">
        <v>387</v>
      </c>
      <c r="F121" s="113"/>
      <c r="G121" s="114"/>
      <c r="H121" s="106"/>
      <c r="I121" s="115"/>
      <c r="J121" s="115"/>
      <c r="K121" s="115"/>
      <c r="L121" s="115"/>
      <c r="M121" s="103"/>
      <c r="N121" s="103"/>
      <c r="O121" s="103"/>
      <c r="P121" s="103"/>
    </row>
    <row r="122" spans="2:16" ht="12.75">
      <c r="B122" s="120" t="s">
        <v>909</v>
      </c>
      <c r="C122" s="119" t="s">
        <v>170</v>
      </c>
      <c r="D122" s="112" t="s">
        <v>171</v>
      </c>
      <c r="E122" s="113" t="s">
        <v>387</v>
      </c>
      <c r="F122" s="113"/>
      <c r="G122" s="114"/>
      <c r="H122" s="106"/>
      <c r="I122" s="115"/>
      <c r="J122" s="115"/>
      <c r="K122" s="115"/>
      <c r="L122" s="115"/>
      <c r="M122" s="103"/>
      <c r="N122" s="103"/>
      <c r="O122" s="103"/>
      <c r="P122" s="103"/>
    </row>
    <row r="123" spans="2:16" ht="12.75">
      <c r="B123" s="120" t="s">
        <v>909</v>
      </c>
      <c r="C123" s="119" t="s">
        <v>781</v>
      </c>
      <c r="D123" s="112" t="s">
        <v>173</v>
      </c>
      <c r="E123" s="113" t="s">
        <v>387</v>
      </c>
      <c r="F123" s="113"/>
      <c r="G123" s="114"/>
      <c r="H123" s="106"/>
      <c r="I123" s="115"/>
      <c r="J123" s="115"/>
      <c r="K123" s="115"/>
      <c r="L123" s="115"/>
      <c r="M123" s="103"/>
      <c r="N123" s="103"/>
      <c r="O123" s="103"/>
      <c r="P123" s="103"/>
    </row>
    <row r="124" spans="2:16" ht="12.75">
      <c r="B124" s="120" t="s">
        <v>909</v>
      </c>
      <c r="C124" s="119" t="s">
        <v>172</v>
      </c>
      <c r="D124" s="112" t="s">
        <v>504</v>
      </c>
      <c r="E124" s="113" t="s">
        <v>387</v>
      </c>
      <c r="F124" s="113"/>
      <c r="G124" s="114"/>
      <c r="H124" s="106">
        <v>22300000</v>
      </c>
      <c r="I124" s="115"/>
      <c r="J124" s="115"/>
      <c r="K124" s="115"/>
      <c r="L124" s="115"/>
      <c r="M124" s="103"/>
      <c r="N124" s="103"/>
      <c r="O124" s="103"/>
      <c r="P124" s="103"/>
    </row>
    <row r="125" spans="2:16" ht="12.75">
      <c r="B125" s="120" t="s">
        <v>910</v>
      </c>
      <c r="C125" s="119" t="s">
        <v>777</v>
      </c>
      <c r="D125" s="117" t="s">
        <v>778</v>
      </c>
      <c r="E125" s="113" t="s">
        <v>387</v>
      </c>
      <c r="F125" s="113"/>
      <c r="G125" s="114"/>
      <c r="H125" s="106">
        <v>175000000</v>
      </c>
      <c r="I125" s="115"/>
      <c r="J125" s="115"/>
      <c r="K125" s="115"/>
      <c r="L125" s="115"/>
      <c r="M125" s="103"/>
      <c r="N125" s="103"/>
      <c r="O125" s="103"/>
      <c r="P125" s="103"/>
    </row>
    <row r="126" spans="2:16" ht="12.75">
      <c r="B126" s="120" t="s">
        <v>911</v>
      </c>
      <c r="C126" s="119" t="s">
        <v>776</v>
      </c>
      <c r="D126" s="117" t="s">
        <v>779</v>
      </c>
      <c r="E126" s="113" t="s">
        <v>387</v>
      </c>
      <c r="F126" s="113"/>
      <c r="G126" s="114"/>
      <c r="H126" s="106">
        <v>750000000</v>
      </c>
      <c r="I126" s="115"/>
      <c r="J126" s="115"/>
      <c r="K126" s="115"/>
      <c r="L126" s="115"/>
      <c r="M126" s="103"/>
      <c r="N126" s="103"/>
      <c r="O126" s="103"/>
      <c r="P126" s="103"/>
    </row>
    <row r="127" spans="2:16" ht="12.75">
      <c r="B127" s="120" t="s">
        <v>912</v>
      </c>
      <c r="C127" s="119" t="s">
        <v>505</v>
      </c>
      <c r="D127" s="112" t="s">
        <v>506</v>
      </c>
      <c r="E127" s="113" t="s">
        <v>387</v>
      </c>
      <c r="F127" s="113"/>
      <c r="G127" s="114"/>
      <c r="H127" s="106">
        <v>40000000</v>
      </c>
      <c r="I127" s="115"/>
      <c r="J127" s="115"/>
      <c r="K127" s="115"/>
      <c r="L127" s="115"/>
      <c r="M127" s="103"/>
      <c r="N127" s="103"/>
      <c r="O127" s="103"/>
      <c r="P127" s="103"/>
    </row>
    <row r="128" spans="2:16" ht="12.75">
      <c r="B128" s="120" t="s">
        <v>913</v>
      </c>
      <c r="C128" s="121" t="s">
        <v>174</v>
      </c>
      <c r="D128" s="112" t="s">
        <v>5</v>
      </c>
      <c r="E128" s="113" t="s">
        <v>387</v>
      </c>
      <c r="F128" s="113"/>
      <c r="G128" s="114"/>
      <c r="H128" s="106">
        <v>148150000</v>
      </c>
      <c r="I128" s="115"/>
      <c r="J128" s="115"/>
      <c r="K128" s="115"/>
      <c r="L128" s="115"/>
      <c r="M128" s="103"/>
      <c r="N128" s="103"/>
      <c r="O128" s="103"/>
      <c r="P128" s="103"/>
    </row>
    <row r="129" spans="2:16" ht="12.75">
      <c r="B129" s="120" t="s">
        <v>913</v>
      </c>
      <c r="C129" s="121" t="s">
        <v>175</v>
      </c>
      <c r="D129" s="112" t="s">
        <v>144</v>
      </c>
      <c r="E129" s="113" t="s">
        <v>387</v>
      </c>
      <c r="F129" s="113"/>
      <c r="G129" s="114"/>
      <c r="H129" s="106">
        <v>56000000</v>
      </c>
      <c r="I129" s="115"/>
      <c r="J129" s="115"/>
      <c r="K129" s="115"/>
      <c r="L129" s="115"/>
      <c r="M129" s="103"/>
      <c r="N129" s="103"/>
      <c r="O129" s="103"/>
      <c r="P129" s="103"/>
    </row>
    <row r="130" spans="2:16" ht="12.75">
      <c r="B130" s="120" t="s">
        <v>913</v>
      </c>
      <c r="C130" s="121" t="s">
        <v>176</v>
      </c>
      <c r="D130" s="112" t="s">
        <v>177</v>
      </c>
      <c r="E130" s="113" t="s">
        <v>387</v>
      </c>
      <c r="F130" s="113"/>
      <c r="G130" s="114"/>
      <c r="H130" s="106">
        <v>58000000</v>
      </c>
      <c r="I130" s="115"/>
      <c r="J130" s="115"/>
      <c r="K130" s="115"/>
      <c r="L130" s="115"/>
      <c r="M130" s="103"/>
      <c r="N130" s="103"/>
      <c r="O130" s="103"/>
      <c r="P130" s="103"/>
    </row>
    <row r="131" spans="2:16" ht="12.75">
      <c r="B131" s="120" t="s">
        <v>913</v>
      </c>
      <c r="C131" s="121" t="s">
        <v>178</v>
      </c>
      <c r="D131" s="112" t="s">
        <v>179</v>
      </c>
      <c r="E131" s="113" t="s">
        <v>387</v>
      </c>
      <c r="F131" s="113"/>
      <c r="G131" s="114"/>
      <c r="H131" s="106">
        <v>65000000</v>
      </c>
      <c r="I131" s="115"/>
      <c r="J131" s="115"/>
      <c r="K131" s="115"/>
      <c r="L131" s="115"/>
      <c r="M131" s="103"/>
      <c r="N131" s="103"/>
      <c r="O131" s="103"/>
      <c r="P131" s="103"/>
    </row>
    <row r="132" spans="2:16" ht="12.75">
      <c r="B132" s="120" t="s">
        <v>914</v>
      </c>
      <c r="C132" s="119" t="s">
        <v>180</v>
      </c>
      <c r="D132" s="112" t="s">
        <v>181</v>
      </c>
      <c r="E132" s="113" t="s">
        <v>387</v>
      </c>
      <c r="F132" s="113"/>
      <c r="G132" s="114"/>
      <c r="H132" s="106">
        <v>140000000</v>
      </c>
      <c r="I132" s="115"/>
      <c r="J132" s="115"/>
      <c r="K132" s="115"/>
      <c r="L132" s="115"/>
      <c r="M132" s="103"/>
      <c r="N132" s="103"/>
      <c r="O132" s="103"/>
      <c r="P132" s="103"/>
    </row>
    <row r="133" spans="2:16" ht="12.75">
      <c r="B133" s="120" t="s">
        <v>915</v>
      </c>
      <c r="C133" s="119" t="s">
        <v>507</v>
      </c>
      <c r="D133" s="112" t="s">
        <v>508</v>
      </c>
      <c r="E133" s="113" t="s">
        <v>387</v>
      </c>
      <c r="F133" s="113"/>
      <c r="G133" s="114"/>
      <c r="H133" s="106">
        <v>3343650790</v>
      </c>
      <c r="I133" s="115"/>
      <c r="J133" s="115"/>
      <c r="K133" s="115"/>
      <c r="L133" s="115"/>
      <c r="M133" s="103"/>
      <c r="N133" s="103"/>
      <c r="O133" s="103"/>
      <c r="P133" s="103"/>
    </row>
    <row r="134" spans="2:16" ht="12.75">
      <c r="B134" s="120" t="s">
        <v>916</v>
      </c>
      <c r="C134" s="119" t="s">
        <v>509</v>
      </c>
      <c r="D134" s="112" t="s">
        <v>510</v>
      </c>
      <c r="E134" s="113" t="s">
        <v>387</v>
      </c>
      <c r="F134" s="113"/>
      <c r="G134" s="114"/>
      <c r="H134" s="106"/>
      <c r="I134" s="115"/>
      <c r="J134" s="115"/>
      <c r="K134" s="115"/>
      <c r="L134" s="115"/>
      <c r="M134" s="103"/>
      <c r="N134" s="103"/>
      <c r="O134" s="103"/>
      <c r="P134" s="103"/>
    </row>
    <row r="135" spans="2:16" ht="12.75">
      <c r="B135" s="120" t="s">
        <v>917</v>
      </c>
      <c r="C135" s="119" t="s">
        <v>0</v>
      </c>
      <c r="D135" s="112" t="s">
        <v>141</v>
      </c>
      <c r="E135" s="113" t="s">
        <v>387</v>
      </c>
      <c r="F135" s="113"/>
      <c r="G135" s="114"/>
      <c r="H135" s="106"/>
      <c r="I135" s="115"/>
      <c r="J135" s="115"/>
      <c r="K135" s="115"/>
      <c r="L135" s="115"/>
      <c r="M135" s="103"/>
      <c r="N135" s="103"/>
      <c r="O135" s="103"/>
      <c r="P135" s="103"/>
    </row>
    <row r="136" spans="2:16" ht="12.75">
      <c r="B136" s="120" t="s">
        <v>918</v>
      </c>
      <c r="C136" s="119" t="s">
        <v>1</v>
      </c>
      <c r="D136" s="112" t="s">
        <v>2</v>
      </c>
      <c r="E136" s="113" t="s">
        <v>387</v>
      </c>
      <c r="F136" s="113"/>
      <c r="G136" s="114"/>
      <c r="H136" s="106">
        <v>78000000</v>
      </c>
      <c r="I136" s="115"/>
      <c r="J136" s="115"/>
      <c r="K136" s="115"/>
      <c r="L136" s="115"/>
      <c r="M136" s="103"/>
      <c r="N136" s="103"/>
      <c r="O136" s="103"/>
      <c r="P136" s="103"/>
    </row>
    <row r="137" spans="2:16" ht="12.75">
      <c r="B137" s="120" t="s">
        <v>919</v>
      </c>
      <c r="C137" s="121" t="s">
        <v>3</v>
      </c>
      <c r="D137" s="112" t="s">
        <v>182</v>
      </c>
      <c r="E137" s="113" t="s">
        <v>387</v>
      </c>
      <c r="F137" s="113"/>
      <c r="G137" s="114"/>
      <c r="H137" s="106">
        <v>23000000</v>
      </c>
      <c r="I137" s="115"/>
      <c r="J137" s="115"/>
      <c r="K137" s="115"/>
      <c r="L137" s="115"/>
      <c r="M137" s="103"/>
      <c r="N137" s="103"/>
      <c r="O137" s="103"/>
      <c r="P137" s="103"/>
    </row>
    <row r="138" spans="2:16" ht="12.75">
      <c r="B138" s="120" t="s">
        <v>920</v>
      </c>
      <c r="C138" s="119" t="s">
        <v>294</v>
      </c>
      <c r="D138" s="112" t="s">
        <v>140</v>
      </c>
      <c r="E138" s="113" t="s">
        <v>387</v>
      </c>
      <c r="F138" s="113"/>
      <c r="G138" s="114"/>
      <c r="H138" s="106">
        <v>16000000</v>
      </c>
      <c r="I138" s="115"/>
      <c r="J138" s="115"/>
      <c r="K138" s="115"/>
      <c r="L138" s="115"/>
      <c r="M138" s="103"/>
      <c r="N138" s="103"/>
      <c r="O138" s="103"/>
      <c r="P138" s="103"/>
    </row>
    <row r="139" spans="2:16" ht="12.75">
      <c r="B139" s="120" t="s">
        <v>921</v>
      </c>
      <c r="C139" s="119" t="s">
        <v>295</v>
      </c>
      <c r="D139" s="112" t="s">
        <v>1069</v>
      </c>
      <c r="E139" s="113" t="s">
        <v>372</v>
      </c>
      <c r="F139" s="113"/>
      <c r="G139" s="114"/>
      <c r="H139" s="106">
        <v>8000000</v>
      </c>
      <c r="I139" s="115"/>
      <c r="J139" s="115"/>
      <c r="K139" s="115"/>
      <c r="L139" s="115"/>
      <c r="M139" s="103"/>
      <c r="N139" s="103"/>
      <c r="O139" s="103"/>
      <c r="P139" s="103"/>
    </row>
    <row r="140" spans="2:16" ht="12.75">
      <c r="B140" s="120" t="s">
        <v>922</v>
      </c>
      <c r="C140" s="119" t="s">
        <v>4</v>
      </c>
      <c r="D140" s="112" t="s">
        <v>142</v>
      </c>
      <c r="E140" s="113" t="s">
        <v>387</v>
      </c>
      <c r="F140" s="113"/>
      <c r="G140" s="114"/>
      <c r="H140" s="106">
        <v>75000000</v>
      </c>
      <c r="I140" s="115"/>
      <c r="J140" s="115"/>
      <c r="K140" s="115"/>
      <c r="L140" s="115"/>
      <c r="M140" s="103"/>
      <c r="N140" s="103"/>
      <c r="O140" s="103"/>
      <c r="P140" s="103"/>
    </row>
    <row r="141" spans="2:16" ht="12.75">
      <c r="B141" s="120" t="s">
        <v>923</v>
      </c>
      <c r="C141" s="119" t="s">
        <v>6</v>
      </c>
      <c r="D141" s="112" t="s">
        <v>7</v>
      </c>
      <c r="E141" s="113" t="s">
        <v>387</v>
      </c>
      <c r="F141" s="113"/>
      <c r="G141" s="114"/>
      <c r="H141" s="106">
        <v>50000000</v>
      </c>
      <c r="I141" s="115"/>
      <c r="J141" s="115"/>
      <c r="K141" s="115"/>
      <c r="L141" s="115"/>
      <c r="M141" s="103"/>
      <c r="N141" s="103"/>
      <c r="O141" s="103"/>
      <c r="P141" s="103"/>
    </row>
    <row r="142" spans="2:16" ht="12.75">
      <c r="B142" s="120" t="s">
        <v>924</v>
      </c>
      <c r="C142" s="119" t="s">
        <v>8</v>
      </c>
      <c r="D142" s="112" t="s">
        <v>9</v>
      </c>
      <c r="E142" s="113" t="s">
        <v>387</v>
      </c>
      <c r="F142" s="113"/>
      <c r="G142" s="114"/>
      <c r="H142" s="106"/>
      <c r="I142" s="115"/>
      <c r="J142" s="115"/>
      <c r="K142" s="115"/>
      <c r="L142" s="115"/>
      <c r="M142" s="103"/>
      <c r="N142" s="103"/>
      <c r="O142" s="103"/>
      <c r="P142" s="103"/>
    </row>
    <row r="143" spans="2:16" ht="12.75">
      <c r="B143" s="120" t="s">
        <v>924</v>
      </c>
      <c r="C143" s="119" t="s">
        <v>10</v>
      </c>
      <c r="D143" s="112" t="s">
        <v>11</v>
      </c>
      <c r="E143" s="113" t="s">
        <v>387</v>
      </c>
      <c r="F143" s="113"/>
      <c r="G143" s="114"/>
      <c r="H143" s="106"/>
      <c r="I143" s="115"/>
      <c r="J143" s="115"/>
      <c r="K143" s="115"/>
      <c r="L143" s="115"/>
      <c r="M143" s="103"/>
      <c r="N143" s="103"/>
      <c r="O143" s="103"/>
      <c r="P143" s="103"/>
    </row>
    <row r="144" spans="2:16" ht="12.75">
      <c r="B144" s="120" t="s">
        <v>925</v>
      </c>
      <c r="C144" s="119" t="s">
        <v>12</v>
      </c>
      <c r="D144" s="112" t="s">
        <v>143</v>
      </c>
      <c r="E144" s="113" t="s">
        <v>387</v>
      </c>
      <c r="F144" s="113"/>
      <c r="G144" s="114"/>
      <c r="H144" s="106">
        <f>175289986+988010</f>
        <v>176277996</v>
      </c>
      <c r="I144" s="115"/>
      <c r="J144" s="115"/>
      <c r="K144" s="115"/>
      <c r="L144" s="115"/>
      <c r="M144" s="103"/>
      <c r="N144" s="103"/>
      <c r="O144" s="103"/>
      <c r="P144" s="103"/>
    </row>
    <row r="145" spans="2:16" ht="12.75">
      <c r="B145" s="120"/>
      <c r="C145" s="119" t="s">
        <v>13</v>
      </c>
      <c r="D145" s="112" t="s">
        <v>14</v>
      </c>
      <c r="E145" s="113" t="s">
        <v>387</v>
      </c>
      <c r="F145" s="113"/>
      <c r="G145" s="114"/>
      <c r="H145" s="106"/>
      <c r="I145" s="115"/>
      <c r="J145" s="115"/>
      <c r="K145" s="115"/>
      <c r="L145" s="115"/>
      <c r="M145" s="103"/>
      <c r="N145" s="103"/>
      <c r="O145" s="103"/>
      <c r="P145" s="103"/>
    </row>
    <row r="146" spans="2:16" ht="12.75">
      <c r="B146" s="120"/>
      <c r="C146" s="119" t="s">
        <v>15</v>
      </c>
      <c r="D146" s="112" t="s">
        <v>16</v>
      </c>
      <c r="E146" s="113" t="s">
        <v>387</v>
      </c>
      <c r="F146" s="113"/>
      <c r="G146" s="114"/>
      <c r="H146" s="106"/>
      <c r="I146" s="115"/>
      <c r="J146" s="115"/>
      <c r="K146" s="115"/>
      <c r="L146" s="115"/>
      <c r="M146" s="103"/>
      <c r="N146" s="103"/>
      <c r="O146" s="103"/>
      <c r="P146" s="103"/>
    </row>
    <row r="147" spans="2:16" ht="12.75">
      <c r="B147" s="120"/>
      <c r="C147" s="119" t="s">
        <v>17</v>
      </c>
      <c r="D147" s="112" t="s">
        <v>18</v>
      </c>
      <c r="E147" s="113" t="s">
        <v>387</v>
      </c>
      <c r="F147" s="113"/>
      <c r="G147" s="114"/>
      <c r="H147" s="106"/>
      <c r="I147" s="115"/>
      <c r="J147" s="115"/>
      <c r="K147" s="115"/>
      <c r="L147" s="115"/>
      <c r="M147" s="103"/>
      <c r="N147" s="103"/>
      <c r="O147" s="103"/>
      <c r="P147" s="103"/>
    </row>
    <row r="148" spans="2:16" s="105" customFormat="1" ht="12.75">
      <c r="B148" s="120"/>
      <c r="C148" s="119" t="s">
        <v>19</v>
      </c>
      <c r="D148" s="112" t="s">
        <v>14</v>
      </c>
      <c r="E148" s="113" t="s">
        <v>387</v>
      </c>
      <c r="F148" s="113"/>
      <c r="G148" s="114"/>
      <c r="H148" s="106"/>
      <c r="I148" s="115"/>
      <c r="J148" s="115"/>
      <c r="K148" s="115"/>
      <c r="L148" s="115"/>
      <c r="M148" s="103"/>
      <c r="N148" s="103"/>
      <c r="O148" s="103"/>
      <c r="P148" s="103"/>
    </row>
    <row r="149" spans="2:16" s="105" customFormat="1" ht="12.75">
      <c r="B149" s="120"/>
      <c r="C149" s="119" t="s">
        <v>20</v>
      </c>
      <c r="D149" s="112" t="s">
        <v>16</v>
      </c>
      <c r="E149" s="113" t="s">
        <v>387</v>
      </c>
      <c r="F149" s="113"/>
      <c r="G149" s="114"/>
      <c r="H149" s="106"/>
      <c r="I149" s="115"/>
      <c r="J149" s="115"/>
      <c r="K149" s="115"/>
      <c r="L149" s="115"/>
      <c r="M149" s="103"/>
      <c r="N149" s="103"/>
      <c r="O149" s="103"/>
      <c r="P149" s="103"/>
    </row>
    <row r="150" spans="2:16" s="105" customFormat="1" ht="12.75">
      <c r="B150" s="120"/>
      <c r="C150" s="119" t="s">
        <v>21</v>
      </c>
      <c r="D150" s="112" t="s">
        <v>18</v>
      </c>
      <c r="E150" s="113" t="s">
        <v>387</v>
      </c>
      <c r="F150" s="113"/>
      <c r="G150" s="114"/>
      <c r="H150" s="106"/>
      <c r="I150" s="115"/>
      <c r="J150" s="115"/>
      <c r="K150" s="115"/>
      <c r="L150" s="115"/>
      <c r="M150" s="103"/>
      <c r="N150" s="103"/>
      <c r="O150" s="103"/>
      <c r="P150" s="103"/>
    </row>
    <row r="151" spans="2:16" s="104" customFormat="1" ht="12.75">
      <c r="B151" s="120"/>
      <c r="C151" s="119" t="s">
        <v>22</v>
      </c>
      <c r="D151" s="112" t="s">
        <v>782</v>
      </c>
      <c r="E151" s="113" t="s">
        <v>387</v>
      </c>
      <c r="F151" s="113"/>
      <c r="G151" s="114"/>
      <c r="H151" s="106"/>
      <c r="I151" s="115"/>
      <c r="J151" s="115"/>
      <c r="K151" s="115"/>
      <c r="L151" s="115"/>
      <c r="M151" s="103"/>
      <c r="N151" s="103"/>
      <c r="O151" s="103"/>
      <c r="P151" s="103"/>
    </row>
    <row r="152" spans="2:16" s="104" customFormat="1" ht="12.75">
      <c r="B152" s="120"/>
      <c r="C152" s="119" t="s">
        <v>23</v>
      </c>
      <c r="D152" s="112" t="s">
        <v>783</v>
      </c>
      <c r="E152" s="113" t="s">
        <v>387</v>
      </c>
      <c r="F152" s="113"/>
      <c r="G152" s="114"/>
      <c r="H152" s="106"/>
      <c r="I152" s="115"/>
      <c r="J152" s="115"/>
      <c r="K152" s="115"/>
      <c r="L152" s="115"/>
      <c r="M152" s="103"/>
      <c r="N152" s="103"/>
      <c r="O152" s="103"/>
      <c r="P152" s="103"/>
    </row>
    <row r="153" spans="2:16" ht="12.75">
      <c r="B153" s="120"/>
      <c r="C153" s="119" t="s">
        <v>784</v>
      </c>
      <c r="D153" s="112" t="s">
        <v>24</v>
      </c>
      <c r="E153" s="113" t="s">
        <v>372</v>
      </c>
      <c r="F153" s="113"/>
      <c r="G153" s="114"/>
      <c r="H153" s="106"/>
      <c r="I153" s="115"/>
      <c r="J153" s="115"/>
      <c r="K153" s="115"/>
      <c r="L153" s="115"/>
      <c r="M153" s="103"/>
      <c r="N153" s="103"/>
      <c r="O153" s="103"/>
      <c r="P153" s="103"/>
    </row>
    <row r="154" spans="2:16" ht="12.75">
      <c r="B154" s="120"/>
      <c r="C154" s="119" t="s">
        <v>785</v>
      </c>
      <c r="D154" s="112" t="s">
        <v>25</v>
      </c>
      <c r="E154" s="113" t="s">
        <v>372</v>
      </c>
      <c r="F154" s="113"/>
      <c r="G154" s="114"/>
      <c r="H154" s="106"/>
      <c r="I154" s="115"/>
      <c r="J154" s="115"/>
      <c r="K154" s="115"/>
      <c r="L154" s="115"/>
      <c r="M154" s="103"/>
      <c r="N154" s="103"/>
      <c r="O154" s="103"/>
      <c r="P154" s="103"/>
    </row>
    <row r="155" spans="2:16" ht="12.75">
      <c r="B155" s="120"/>
      <c r="C155" s="119" t="s">
        <v>786</v>
      </c>
      <c r="D155" s="112" t="s">
        <v>855</v>
      </c>
      <c r="E155" s="113" t="s">
        <v>372</v>
      </c>
      <c r="F155" s="113"/>
      <c r="G155" s="114"/>
      <c r="H155" s="106"/>
      <c r="I155" s="115"/>
      <c r="J155" s="115"/>
      <c r="K155" s="115"/>
      <c r="L155" s="115"/>
      <c r="M155" s="103"/>
      <c r="N155" s="103"/>
      <c r="O155" s="103"/>
      <c r="P155" s="103"/>
    </row>
    <row r="156" spans="2:16" ht="12.75">
      <c r="B156" s="120"/>
      <c r="C156" s="119" t="s">
        <v>26</v>
      </c>
      <c r="D156" s="112" t="s">
        <v>843</v>
      </c>
      <c r="E156" s="113" t="s">
        <v>372</v>
      </c>
      <c r="F156" s="113"/>
      <c r="G156" s="114"/>
      <c r="H156" s="106"/>
      <c r="I156" s="115"/>
      <c r="J156" s="115"/>
      <c r="K156" s="115"/>
      <c r="L156" s="115"/>
      <c r="M156" s="103"/>
      <c r="N156" s="103"/>
      <c r="O156" s="103"/>
      <c r="P156" s="103"/>
    </row>
    <row r="157" spans="2:16" ht="12.75">
      <c r="B157" s="120"/>
      <c r="C157" s="119" t="s">
        <v>27</v>
      </c>
      <c r="D157" s="112" t="s">
        <v>845</v>
      </c>
      <c r="E157" s="113" t="s">
        <v>372</v>
      </c>
      <c r="F157" s="113"/>
      <c r="G157" s="114"/>
      <c r="H157" s="106"/>
      <c r="I157" s="115"/>
      <c r="J157" s="115"/>
      <c r="K157" s="115"/>
      <c r="L157" s="115"/>
      <c r="M157" s="103"/>
      <c r="N157" s="103"/>
      <c r="O157" s="103"/>
      <c r="P157" s="103"/>
    </row>
    <row r="158" spans="2:16" s="105" customFormat="1" ht="12.75">
      <c r="B158" s="120"/>
      <c r="C158" s="119" t="s">
        <v>28</v>
      </c>
      <c r="D158" s="112" t="s">
        <v>847</v>
      </c>
      <c r="E158" s="113" t="s">
        <v>372</v>
      </c>
      <c r="F158" s="113"/>
      <c r="G158" s="114"/>
      <c r="H158" s="106"/>
      <c r="I158" s="115"/>
      <c r="J158" s="115"/>
      <c r="K158" s="115"/>
      <c r="L158" s="115"/>
      <c r="M158" s="103"/>
      <c r="N158" s="103"/>
      <c r="O158" s="103"/>
      <c r="P158" s="103"/>
    </row>
    <row r="159" spans="2:16" ht="12.75">
      <c r="B159" s="120"/>
      <c r="C159" s="119" t="s">
        <v>29</v>
      </c>
      <c r="D159" s="112" t="s">
        <v>848</v>
      </c>
      <c r="E159" s="113" t="s">
        <v>372</v>
      </c>
      <c r="F159" s="113"/>
      <c r="G159" s="114"/>
      <c r="H159" s="106"/>
      <c r="I159" s="115"/>
      <c r="J159" s="115"/>
      <c r="K159" s="115"/>
      <c r="L159" s="115"/>
      <c r="M159" s="103"/>
      <c r="N159" s="103"/>
      <c r="O159" s="103"/>
      <c r="P159" s="103"/>
    </row>
    <row r="160" spans="2:16" ht="12.75">
      <c r="B160" s="120"/>
      <c r="C160" s="119" t="s">
        <v>30</v>
      </c>
      <c r="D160" s="112" t="s">
        <v>844</v>
      </c>
      <c r="E160" s="113" t="s">
        <v>372</v>
      </c>
      <c r="F160" s="113"/>
      <c r="G160" s="114"/>
      <c r="H160" s="106"/>
      <c r="I160" s="115"/>
      <c r="J160" s="115"/>
      <c r="K160" s="115"/>
      <c r="L160" s="115"/>
      <c r="M160" s="103"/>
      <c r="N160" s="103"/>
      <c r="O160" s="103"/>
      <c r="P160" s="103"/>
    </row>
    <row r="161" spans="2:16" ht="12.75">
      <c r="B161" s="120"/>
      <c r="C161" s="119" t="s">
        <v>31</v>
      </c>
      <c r="D161" s="112" t="s">
        <v>846</v>
      </c>
      <c r="E161" s="113" t="s">
        <v>372</v>
      </c>
      <c r="F161" s="113"/>
      <c r="G161" s="114"/>
      <c r="H161" s="106"/>
      <c r="I161" s="115"/>
      <c r="J161" s="115"/>
      <c r="K161" s="115"/>
      <c r="L161" s="115"/>
      <c r="M161" s="103"/>
      <c r="N161" s="103"/>
      <c r="O161" s="103"/>
      <c r="P161" s="103"/>
    </row>
    <row r="162" spans="2:16" ht="12.75">
      <c r="B162" s="120"/>
      <c r="C162" s="119" t="s">
        <v>32</v>
      </c>
      <c r="D162" s="112" t="s">
        <v>850</v>
      </c>
      <c r="E162" s="113" t="s">
        <v>372</v>
      </c>
      <c r="F162" s="113"/>
      <c r="G162" s="114"/>
      <c r="H162" s="106"/>
      <c r="I162" s="115"/>
      <c r="J162" s="115"/>
      <c r="K162" s="115"/>
      <c r="L162" s="115"/>
      <c r="M162" s="103"/>
      <c r="N162" s="103"/>
      <c r="O162" s="103"/>
      <c r="P162" s="103"/>
    </row>
    <row r="163" spans="2:16" ht="12.75">
      <c r="B163" s="120"/>
      <c r="C163" s="119" t="s">
        <v>33</v>
      </c>
      <c r="D163" s="112" t="s">
        <v>849</v>
      </c>
      <c r="E163" s="113" t="s">
        <v>372</v>
      </c>
      <c r="F163" s="113"/>
      <c r="G163" s="114"/>
      <c r="H163" s="106"/>
      <c r="I163" s="115"/>
      <c r="J163" s="115"/>
      <c r="K163" s="115"/>
      <c r="L163" s="115"/>
      <c r="M163" s="103"/>
      <c r="N163" s="103"/>
      <c r="O163" s="103"/>
      <c r="P163" s="103"/>
    </row>
    <row r="164" spans="2:16" ht="12.75">
      <c r="B164" s="120"/>
      <c r="C164" s="119" t="s">
        <v>34</v>
      </c>
      <c r="D164" s="112" t="s">
        <v>35</v>
      </c>
      <c r="E164" s="113" t="s">
        <v>372</v>
      </c>
      <c r="F164" s="113"/>
      <c r="G164" s="114"/>
      <c r="H164" s="106"/>
      <c r="I164" s="115"/>
      <c r="J164" s="115"/>
      <c r="K164" s="115"/>
      <c r="L164" s="115"/>
      <c r="M164" s="103"/>
      <c r="N164" s="103"/>
      <c r="O164" s="103"/>
      <c r="P164" s="103"/>
    </row>
    <row r="165" spans="2:16" ht="12.75">
      <c r="B165" s="120"/>
      <c r="C165" s="119" t="s">
        <v>36</v>
      </c>
      <c r="D165" s="112" t="s">
        <v>37</v>
      </c>
      <c r="E165" s="113" t="s">
        <v>372</v>
      </c>
      <c r="F165" s="113"/>
      <c r="G165" s="114"/>
      <c r="H165" s="106"/>
      <c r="I165" s="115"/>
      <c r="J165" s="115"/>
      <c r="K165" s="115"/>
      <c r="L165" s="115"/>
      <c r="M165" s="103"/>
      <c r="N165" s="103"/>
      <c r="O165" s="103"/>
      <c r="P165" s="103"/>
    </row>
    <row r="166" spans="2:16" ht="12.75">
      <c r="B166" s="120"/>
      <c r="C166" s="119" t="s">
        <v>38</v>
      </c>
      <c r="D166" s="112" t="s">
        <v>39</v>
      </c>
      <c r="E166" s="113" t="s">
        <v>372</v>
      </c>
      <c r="F166" s="113"/>
      <c r="G166" s="114"/>
      <c r="H166" s="106"/>
      <c r="I166" s="115"/>
      <c r="J166" s="115"/>
      <c r="K166" s="115"/>
      <c r="L166" s="115"/>
      <c r="M166" s="103"/>
      <c r="N166" s="103"/>
      <c r="O166" s="103"/>
      <c r="P166" s="103"/>
    </row>
    <row r="167" spans="2:16" ht="12.75">
      <c r="B167" s="120"/>
      <c r="C167" s="119" t="s">
        <v>40</v>
      </c>
      <c r="D167" s="112" t="s">
        <v>41</v>
      </c>
      <c r="E167" s="113" t="s">
        <v>372</v>
      </c>
      <c r="F167" s="113"/>
      <c r="G167" s="114"/>
      <c r="H167" s="106"/>
      <c r="I167" s="115"/>
      <c r="J167" s="115"/>
      <c r="K167" s="115"/>
      <c r="L167" s="115"/>
      <c r="M167" s="103"/>
      <c r="N167" s="103"/>
      <c r="O167" s="103"/>
      <c r="P167" s="103"/>
    </row>
    <row r="168" spans="2:16" ht="12.75">
      <c r="B168" s="120"/>
      <c r="C168" s="119" t="s">
        <v>42</v>
      </c>
      <c r="D168" s="112" t="s">
        <v>43</v>
      </c>
      <c r="E168" s="113" t="s">
        <v>372</v>
      </c>
      <c r="F168" s="113"/>
      <c r="G168" s="114"/>
      <c r="H168" s="106"/>
      <c r="I168" s="115"/>
      <c r="J168" s="115"/>
      <c r="K168" s="115"/>
      <c r="L168" s="115"/>
      <c r="M168" s="103"/>
      <c r="N168" s="103"/>
      <c r="O168" s="103"/>
      <c r="P168" s="103"/>
    </row>
    <row r="169" spans="2:16" ht="12.75">
      <c r="B169" s="120"/>
      <c r="C169" s="119" t="s">
        <v>44</v>
      </c>
      <c r="D169" s="112" t="s">
        <v>45</v>
      </c>
      <c r="E169" s="113" t="s">
        <v>372</v>
      </c>
      <c r="F169" s="113"/>
      <c r="G169" s="114"/>
      <c r="H169" s="106"/>
      <c r="I169" s="115"/>
      <c r="J169" s="115"/>
      <c r="K169" s="115"/>
      <c r="L169" s="115"/>
      <c r="M169" s="103"/>
      <c r="N169" s="103"/>
      <c r="O169" s="103"/>
      <c r="P169" s="103"/>
    </row>
    <row r="170" spans="2:16" ht="12.75">
      <c r="B170" s="120"/>
      <c r="C170" s="119" t="s">
        <v>46</v>
      </c>
      <c r="D170" s="112" t="s">
        <v>47</v>
      </c>
      <c r="E170" s="113" t="s">
        <v>372</v>
      </c>
      <c r="F170" s="113"/>
      <c r="G170" s="114"/>
      <c r="H170" s="106"/>
      <c r="I170" s="115"/>
      <c r="J170" s="115"/>
      <c r="K170" s="115"/>
      <c r="L170" s="115"/>
      <c r="M170" s="103"/>
      <c r="N170" s="103"/>
      <c r="O170" s="103"/>
      <c r="P170" s="103"/>
    </row>
    <row r="171" spans="2:16" ht="12.75">
      <c r="B171" s="120"/>
      <c r="C171" s="119" t="s">
        <v>48</v>
      </c>
      <c r="D171" s="112" t="s">
        <v>49</v>
      </c>
      <c r="E171" s="113" t="s">
        <v>372</v>
      </c>
      <c r="F171" s="113"/>
      <c r="G171" s="114"/>
      <c r="H171" s="106"/>
      <c r="I171" s="115"/>
      <c r="J171" s="115"/>
      <c r="K171" s="115"/>
      <c r="L171" s="115"/>
      <c r="M171" s="103"/>
      <c r="N171" s="103"/>
      <c r="O171" s="103"/>
      <c r="P171" s="103"/>
    </row>
    <row r="172" spans="2:16" ht="12.75">
      <c r="B172" s="120"/>
      <c r="C172" s="119" t="s">
        <v>50</v>
      </c>
      <c r="D172" s="112" t="s">
        <v>51</v>
      </c>
      <c r="E172" s="113" t="s">
        <v>372</v>
      </c>
      <c r="F172" s="113"/>
      <c r="G172" s="114"/>
      <c r="H172" s="106"/>
      <c r="I172" s="115"/>
      <c r="J172" s="115"/>
      <c r="K172" s="115"/>
      <c r="L172" s="115"/>
      <c r="M172" s="103"/>
      <c r="N172" s="103"/>
      <c r="O172" s="103"/>
      <c r="P172" s="103"/>
    </row>
    <row r="173" spans="2:16" ht="12.75">
      <c r="B173" s="120"/>
      <c r="C173" s="119" t="s">
        <v>52</v>
      </c>
      <c r="D173" s="112" t="s">
        <v>53</v>
      </c>
      <c r="E173" s="113" t="s">
        <v>372</v>
      </c>
      <c r="F173" s="113"/>
      <c r="G173" s="114"/>
      <c r="H173" s="106"/>
      <c r="I173" s="115"/>
      <c r="J173" s="115"/>
      <c r="K173" s="115"/>
      <c r="L173" s="115"/>
      <c r="M173" s="103"/>
      <c r="N173" s="103"/>
      <c r="O173" s="103"/>
      <c r="P173" s="103"/>
    </row>
    <row r="174" spans="2:16" ht="12.75">
      <c r="B174" s="120"/>
      <c r="C174" s="119" t="s">
        <v>54</v>
      </c>
      <c r="D174" s="112" t="s">
        <v>55</v>
      </c>
      <c r="E174" s="113" t="s">
        <v>372</v>
      </c>
      <c r="F174" s="113"/>
      <c r="G174" s="114"/>
      <c r="H174" s="106"/>
      <c r="I174" s="115"/>
      <c r="J174" s="115"/>
      <c r="K174" s="115"/>
      <c r="L174" s="115"/>
      <c r="M174" s="103"/>
      <c r="N174" s="103"/>
      <c r="O174" s="103"/>
      <c r="P174" s="103"/>
    </row>
    <row r="175" spans="2:16" ht="12.75">
      <c r="B175" s="120"/>
      <c r="C175" s="119" t="s">
        <v>56</v>
      </c>
      <c r="D175" s="112" t="s">
        <v>57</v>
      </c>
      <c r="E175" s="113" t="s">
        <v>372</v>
      </c>
      <c r="F175" s="113"/>
      <c r="G175" s="114"/>
      <c r="H175" s="106"/>
      <c r="I175" s="115"/>
      <c r="J175" s="115"/>
      <c r="K175" s="115"/>
      <c r="L175" s="115"/>
      <c r="M175" s="103"/>
      <c r="N175" s="103"/>
      <c r="O175" s="103"/>
      <c r="P175" s="103"/>
    </row>
    <row r="176" spans="2:16" s="104" customFormat="1" ht="12.75">
      <c r="B176" s="120"/>
      <c r="C176" s="122" t="s">
        <v>58</v>
      </c>
      <c r="D176" s="112" t="s">
        <v>59</v>
      </c>
      <c r="E176" s="113" t="s">
        <v>372</v>
      </c>
      <c r="F176" s="113"/>
      <c r="G176" s="114"/>
      <c r="H176" s="106"/>
      <c r="I176" s="115"/>
      <c r="J176" s="115"/>
      <c r="K176" s="115"/>
      <c r="L176" s="115"/>
      <c r="M176" s="103"/>
      <c r="N176" s="103"/>
      <c r="O176" s="103"/>
      <c r="P176" s="103"/>
    </row>
    <row r="177" spans="2:16" s="104" customFormat="1" ht="12.75">
      <c r="B177" s="120"/>
      <c r="C177" s="122" t="s">
        <v>60</v>
      </c>
      <c r="D177" s="112" t="s">
        <v>61</v>
      </c>
      <c r="E177" s="113" t="s">
        <v>372</v>
      </c>
      <c r="F177" s="113"/>
      <c r="G177" s="114"/>
      <c r="H177" s="106"/>
      <c r="I177" s="115"/>
      <c r="J177" s="115"/>
      <c r="K177" s="115"/>
      <c r="L177" s="115"/>
      <c r="M177" s="103"/>
      <c r="N177" s="103"/>
      <c r="O177" s="103"/>
      <c r="P177" s="103"/>
    </row>
    <row r="178" spans="2:16" ht="12.75">
      <c r="B178" s="120"/>
      <c r="C178" s="119" t="s">
        <v>62</v>
      </c>
      <c r="D178" s="112" t="s">
        <v>63</v>
      </c>
      <c r="E178" s="113" t="s">
        <v>372</v>
      </c>
      <c r="F178" s="113"/>
      <c r="G178" s="114"/>
      <c r="H178" s="106"/>
      <c r="I178" s="115"/>
      <c r="J178" s="115"/>
      <c r="K178" s="115"/>
      <c r="L178" s="115"/>
      <c r="M178" s="103"/>
      <c r="N178" s="103"/>
      <c r="O178" s="103"/>
      <c r="P178" s="103"/>
    </row>
    <row r="179" spans="2:16" ht="12.75">
      <c r="B179" s="120"/>
      <c r="C179" s="119" t="s">
        <v>64</v>
      </c>
      <c r="D179" s="112" t="s">
        <v>65</v>
      </c>
      <c r="E179" s="113" t="s">
        <v>372</v>
      </c>
      <c r="F179" s="113"/>
      <c r="G179" s="114"/>
      <c r="H179" s="106"/>
      <c r="I179" s="115"/>
      <c r="J179" s="115"/>
      <c r="K179" s="115"/>
      <c r="L179" s="115"/>
      <c r="M179" s="103"/>
      <c r="N179" s="103"/>
      <c r="O179" s="103"/>
      <c r="P179" s="103"/>
    </row>
    <row r="180" spans="2:16" ht="12.75">
      <c r="B180" s="120"/>
      <c r="C180" s="119" t="s">
        <v>66</v>
      </c>
      <c r="D180" s="112" t="s">
        <v>67</v>
      </c>
      <c r="E180" s="113" t="s">
        <v>372</v>
      </c>
      <c r="F180" s="113"/>
      <c r="G180" s="114"/>
      <c r="H180" s="106"/>
      <c r="I180" s="115"/>
      <c r="J180" s="115"/>
      <c r="K180" s="115"/>
      <c r="L180" s="115"/>
      <c r="M180" s="103"/>
      <c r="N180" s="103"/>
      <c r="O180" s="103"/>
      <c r="P180" s="103"/>
    </row>
    <row r="181" spans="2:16" ht="12.75">
      <c r="B181" s="120"/>
      <c r="C181" s="119" t="s">
        <v>68</v>
      </c>
      <c r="D181" s="112" t="s">
        <v>69</v>
      </c>
      <c r="E181" s="113" t="s">
        <v>372</v>
      </c>
      <c r="F181" s="113"/>
      <c r="G181" s="114"/>
      <c r="H181" s="106"/>
      <c r="I181" s="115"/>
      <c r="J181" s="115"/>
      <c r="K181" s="115"/>
      <c r="L181" s="115"/>
      <c r="M181" s="103"/>
      <c r="N181" s="103"/>
      <c r="O181" s="103"/>
      <c r="P181" s="103"/>
    </row>
    <row r="182" spans="2:16" ht="12.75">
      <c r="B182" s="120"/>
      <c r="C182" s="119" t="s">
        <v>70</v>
      </c>
      <c r="D182" s="112" t="s">
        <v>71</v>
      </c>
      <c r="E182" s="113" t="s">
        <v>372</v>
      </c>
      <c r="F182" s="113"/>
      <c r="G182" s="114"/>
      <c r="H182" s="106"/>
      <c r="I182" s="115"/>
      <c r="J182" s="115"/>
      <c r="K182" s="115"/>
      <c r="L182" s="115"/>
      <c r="M182" s="103"/>
      <c r="N182" s="103"/>
      <c r="O182" s="103"/>
      <c r="P182" s="103"/>
    </row>
    <row r="183" spans="2:16" ht="12.75">
      <c r="B183" s="120"/>
      <c r="C183" s="119" t="s">
        <v>72</v>
      </c>
      <c r="D183" s="112" t="s">
        <v>73</v>
      </c>
      <c r="E183" s="113" t="s">
        <v>372</v>
      </c>
      <c r="F183" s="113"/>
      <c r="G183" s="114"/>
      <c r="H183" s="106"/>
      <c r="I183" s="115"/>
      <c r="J183" s="115"/>
      <c r="K183" s="115"/>
      <c r="L183" s="115"/>
      <c r="M183" s="103"/>
      <c r="N183" s="103"/>
      <c r="O183" s="103"/>
      <c r="P183" s="103"/>
    </row>
    <row r="184" spans="2:16" ht="12.75">
      <c r="B184" s="120"/>
      <c r="C184" s="119" t="s">
        <v>74</v>
      </c>
      <c r="D184" s="112" t="s">
        <v>75</v>
      </c>
      <c r="E184" s="113" t="s">
        <v>372</v>
      </c>
      <c r="F184" s="113"/>
      <c r="G184" s="114"/>
      <c r="H184" s="106"/>
      <c r="I184" s="115"/>
      <c r="J184" s="115"/>
      <c r="K184" s="115"/>
      <c r="L184" s="115"/>
      <c r="M184" s="103"/>
      <c r="N184" s="103"/>
      <c r="O184" s="103"/>
      <c r="P184" s="103"/>
    </row>
    <row r="185" spans="2:16" ht="12.75">
      <c r="B185" s="120"/>
      <c r="C185" s="119" t="s">
        <v>76</v>
      </c>
      <c r="D185" s="112" t="s">
        <v>77</v>
      </c>
      <c r="E185" s="113" t="s">
        <v>372</v>
      </c>
      <c r="F185" s="113"/>
      <c r="G185" s="114"/>
      <c r="H185" s="106"/>
      <c r="I185" s="115"/>
      <c r="J185" s="115"/>
      <c r="K185" s="115"/>
      <c r="L185" s="115"/>
      <c r="M185" s="103"/>
      <c r="N185" s="103"/>
      <c r="O185" s="103"/>
      <c r="P185" s="103"/>
    </row>
    <row r="186" spans="2:16" ht="12.75">
      <c r="B186" s="120"/>
      <c r="C186" s="119" t="s">
        <v>78</v>
      </c>
      <c r="D186" s="112" t="s">
        <v>79</v>
      </c>
      <c r="E186" s="113" t="s">
        <v>372</v>
      </c>
      <c r="F186" s="113"/>
      <c r="G186" s="114"/>
      <c r="H186" s="106"/>
      <c r="I186" s="115"/>
      <c r="J186" s="115"/>
      <c r="K186" s="115"/>
      <c r="L186" s="115"/>
      <c r="M186" s="103"/>
      <c r="N186" s="103"/>
      <c r="O186" s="103"/>
      <c r="P186" s="103"/>
    </row>
    <row r="187" spans="2:16" ht="12.75">
      <c r="B187" s="120"/>
      <c r="C187" s="119" t="s">
        <v>80</v>
      </c>
      <c r="D187" s="112" t="s">
        <v>81</v>
      </c>
      <c r="E187" s="113" t="s">
        <v>372</v>
      </c>
      <c r="F187" s="113"/>
      <c r="G187" s="114"/>
      <c r="H187" s="106"/>
      <c r="I187" s="115"/>
      <c r="J187" s="115"/>
      <c r="K187" s="115"/>
      <c r="L187" s="115"/>
      <c r="M187" s="103"/>
      <c r="N187" s="103"/>
      <c r="O187" s="103"/>
      <c r="P187" s="103"/>
    </row>
    <row r="188" spans="2:16" ht="12.75">
      <c r="B188" s="120"/>
      <c r="C188" s="119" t="s">
        <v>82</v>
      </c>
      <c r="D188" s="112" t="s">
        <v>83</v>
      </c>
      <c r="E188" s="113" t="s">
        <v>372</v>
      </c>
      <c r="F188" s="113"/>
      <c r="G188" s="114"/>
      <c r="H188" s="106"/>
      <c r="I188" s="115"/>
      <c r="J188" s="115"/>
      <c r="K188" s="115"/>
      <c r="L188" s="115"/>
      <c r="M188" s="103"/>
      <c r="N188" s="103"/>
      <c r="O188" s="103"/>
      <c r="P188" s="103"/>
    </row>
    <row r="189" spans="2:16" ht="12.75">
      <c r="B189" s="120"/>
      <c r="C189" s="119" t="s">
        <v>84</v>
      </c>
      <c r="D189" s="112" t="s">
        <v>85</v>
      </c>
      <c r="E189" s="113" t="s">
        <v>372</v>
      </c>
      <c r="F189" s="113"/>
      <c r="G189" s="114"/>
      <c r="H189" s="106"/>
      <c r="I189" s="115"/>
      <c r="J189" s="115"/>
      <c r="K189" s="115"/>
      <c r="L189" s="115"/>
      <c r="M189" s="103"/>
      <c r="N189" s="103"/>
      <c r="O189" s="103"/>
      <c r="P189" s="103"/>
    </row>
    <row r="190" spans="2:16" ht="12.75">
      <c r="B190" s="120"/>
      <c r="C190" s="119" t="s">
        <v>86</v>
      </c>
      <c r="D190" s="112" t="s">
        <v>87</v>
      </c>
      <c r="E190" s="113" t="s">
        <v>372</v>
      </c>
      <c r="F190" s="113"/>
      <c r="G190" s="114"/>
      <c r="H190" s="106"/>
      <c r="I190" s="115"/>
      <c r="J190" s="115"/>
      <c r="K190" s="115"/>
      <c r="L190" s="115"/>
      <c r="M190" s="103"/>
      <c r="N190" s="103"/>
      <c r="O190" s="103"/>
      <c r="P190" s="103"/>
    </row>
    <row r="191" spans="2:16" ht="12.75">
      <c r="B191" s="120"/>
      <c r="C191" s="119" t="s">
        <v>88</v>
      </c>
      <c r="D191" s="112" t="s">
        <v>89</v>
      </c>
      <c r="E191" s="113" t="s">
        <v>372</v>
      </c>
      <c r="F191" s="113"/>
      <c r="G191" s="114"/>
      <c r="H191" s="106"/>
      <c r="I191" s="115"/>
      <c r="J191" s="115"/>
      <c r="K191" s="115"/>
      <c r="L191" s="115"/>
      <c r="M191" s="103"/>
      <c r="N191" s="103"/>
      <c r="O191" s="103"/>
      <c r="P191" s="103"/>
    </row>
    <row r="192" spans="2:16" ht="12.75">
      <c r="B192" s="120"/>
      <c r="C192" s="119" t="s">
        <v>90</v>
      </c>
      <c r="D192" s="112" t="s">
        <v>91</v>
      </c>
      <c r="E192" s="113" t="s">
        <v>372</v>
      </c>
      <c r="F192" s="113"/>
      <c r="G192" s="114"/>
      <c r="H192" s="106"/>
      <c r="I192" s="115"/>
      <c r="J192" s="115"/>
      <c r="K192" s="115"/>
      <c r="L192" s="115"/>
      <c r="M192" s="103"/>
      <c r="N192" s="103"/>
      <c r="O192" s="103"/>
      <c r="P192" s="103"/>
    </row>
    <row r="193" spans="2:16" s="105" customFormat="1" ht="12.75">
      <c r="B193" s="120"/>
      <c r="C193" s="119" t="s">
        <v>92</v>
      </c>
      <c r="D193" s="112" t="s">
        <v>93</v>
      </c>
      <c r="E193" s="113" t="s">
        <v>372</v>
      </c>
      <c r="F193" s="113"/>
      <c r="G193" s="114"/>
      <c r="H193" s="106"/>
      <c r="I193" s="115"/>
      <c r="J193" s="115"/>
      <c r="K193" s="115"/>
      <c r="L193" s="115"/>
      <c r="M193" s="103"/>
      <c r="N193" s="103"/>
      <c r="O193" s="103"/>
      <c r="P193" s="103"/>
    </row>
    <row r="194" spans="2:16" ht="12.75">
      <c r="B194" s="120"/>
      <c r="C194" s="119" t="s">
        <v>94</v>
      </c>
      <c r="D194" s="112" t="s">
        <v>183</v>
      </c>
      <c r="E194" s="113" t="s">
        <v>372</v>
      </c>
      <c r="F194" s="113"/>
      <c r="G194" s="114"/>
      <c r="H194" s="106"/>
      <c r="I194" s="115"/>
      <c r="J194" s="115"/>
      <c r="K194" s="115"/>
      <c r="L194" s="115"/>
      <c r="M194" s="103"/>
      <c r="N194" s="103"/>
      <c r="O194" s="103"/>
      <c r="P194" s="103"/>
    </row>
    <row r="195" spans="2:16" ht="12.75">
      <c r="B195" s="120"/>
      <c r="C195" s="119" t="s">
        <v>96</v>
      </c>
      <c r="D195" s="112" t="s">
        <v>95</v>
      </c>
      <c r="E195" s="113" t="s">
        <v>372</v>
      </c>
      <c r="F195" s="113"/>
      <c r="G195" s="114"/>
      <c r="H195" s="106"/>
      <c r="I195" s="115"/>
      <c r="J195" s="115"/>
      <c r="K195" s="115"/>
      <c r="L195" s="115"/>
      <c r="M195" s="103"/>
      <c r="N195" s="103"/>
      <c r="O195" s="103"/>
      <c r="P195" s="103"/>
    </row>
    <row r="196" spans="2:16" s="104" customFormat="1" ht="12.75">
      <c r="B196" s="120"/>
      <c r="C196" s="119" t="s">
        <v>97</v>
      </c>
      <c r="D196" s="112" t="s">
        <v>98</v>
      </c>
      <c r="E196" s="113" t="s">
        <v>387</v>
      </c>
      <c r="F196" s="113"/>
      <c r="G196" s="114"/>
      <c r="H196" s="106"/>
      <c r="I196" s="115"/>
      <c r="J196" s="115"/>
      <c r="K196" s="115"/>
      <c r="L196" s="115"/>
      <c r="M196" s="103"/>
      <c r="N196" s="103"/>
      <c r="O196" s="103"/>
      <c r="P196" s="103"/>
    </row>
    <row r="197" spans="2:16" s="104" customFormat="1" ht="12.75">
      <c r="B197" s="120"/>
      <c r="C197" s="119" t="s">
        <v>99</v>
      </c>
      <c r="D197" s="112" t="s">
        <v>100</v>
      </c>
      <c r="E197" s="113" t="s">
        <v>387</v>
      </c>
      <c r="F197" s="113"/>
      <c r="G197" s="114"/>
      <c r="H197" s="106"/>
      <c r="I197" s="115"/>
      <c r="J197" s="115"/>
      <c r="K197" s="115"/>
      <c r="L197" s="115"/>
      <c r="M197" s="103"/>
      <c r="N197" s="103"/>
      <c r="O197" s="103"/>
      <c r="P197" s="103"/>
    </row>
    <row r="198" spans="2:16" ht="12.75">
      <c r="B198" s="120"/>
      <c r="C198" s="119" t="s">
        <v>101</v>
      </c>
      <c r="D198" s="112" t="s">
        <v>145</v>
      </c>
      <c r="E198" s="113" t="s">
        <v>372</v>
      </c>
      <c r="F198" s="113"/>
      <c r="G198" s="114"/>
      <c r="H198" s="106"/>
      <c r="I198" s="115"/>
      <c r="J198" s="115"/>
      <c r="K198" s="115"/>
      <c r="L198" s="115"/>
      <c r="M198" s="103"/>
      <c r="N198" s="103"/>
      <c r="O198" s="103"/>
      <c r="P198" s="103"/>
    </row>
    <row r="199" spans="2:16" ht="12.75">
      <c r="B199" s="120"/>
      <c r="C199" s="121" t="s">
        <v>511</v>
      </c>
      <c r="D199" s="112" t="s">
        <v>512</v>
      </c>
      <c r="E199" s="113" t="s">
        <v>372</v>
      </c>
      <c r="F199" s="113"/>
      <c r="G199" s="114"/>
      <c r="H199" s="106"/>
      <c r="I199" s="115"/>
      <c r="J199" s="115"/>
      <c r="K199" s="115"/>
      <c r="L199" s="115"/>
      <c r="M199" s="103"/>
      <c r="N199" s="103"/>
      <c r="O199" s="103"/>
      <c r="P199" s="103"/>
    </row>
    <row r="200" spans="2:16" ht="12.75">
      <c r="B200" s="120"/>
      <c r="C200" s="119" t="s">
        <v>102</v>
      </c>
      <c r="D200" s="112" t="s">
        <v>103</v>
      </c>
      <c r="E200" s="113" t="s">
        <v>387</v>
      </c>
      <c r="F200" s="113"/>
      <c r="G200" s="114"/>
      <c r="H200" s="106"/>
      <c r="I200" s="115"/>
      <c r="J200" s="115"/>
      <c r="K200" s="115"/>
      <c r="L200" s="115"/>
      <c r="M200" s="103"/>
      <c r="N200" s="103"/>
      <c r="O200" s="103"/>
      <c r="P200" s="103"/>
    </row>
    <row r="201" ht="12.75">
      <c r="K201" s="111"/>
    </row>
  </sheetData>
  <sheetProtection/>
  <mergeCells count="2">
    <mergeCell ref="B3:L3"/>
    <mergeCell ref="B4:F4"/>
  </mergeCells>
  <printOptions/>
  <pageMargins left="0.75" right="0.75" top="1" bottom="1" header="0.5" footer="0.5"/>
  <pageSetup horizontalDpi="1200" verticalDpi="1200" orientation="portrait" r:id="rId3"/>
  <legacyDrawing r:id="rId2"/>
</worksheet>
</file>

<file path=xl/worksheets/sheet6.xml><?xml version="1.0" encoding="utf-8"?>
<worksheet xmlns="http://schemas.openxmlformats.org/spreadsheetml/2006/main" xmlns:r="http://schemas.openxmlformats.org/officeDocument/2006/relationships">
  <sheetPr>
    <tabColor theme="0"/>
  </sheetPr>
  <dimension ref="B2:J353"/>
  <sheetViews>
    <sheetView showGridLines="0" zoomScalePageLayoutView="0" workbookViewId="0" topLeftCell="A4">
      <selection activeCell="J14" sqref="J14"/>
    </sheetView>
  </sheetViews>
  <sheetFormatPr defaultColWidth="9.140625" defaultRowHeight="12.75"/>
  <cols>
    <col min="1" max="1" width="3.8515625" style="0" customWidth="1"/>
    <col min="2" max="2" width="11.28125" style="0" customWidth="1"/>
    <col min="3" max="3" width="12.00390625" style="0" customWidth="1"/>
    <col min="4" max="4" width="12.28125" style="0" customWidth="1"/>
    <col min="5" max="5" width="37.00390625" style="0" customWidth="1"/>
    <col min="6" max="6" width="9.28125" style="0" bestFit="1" customWidth="1"/>
    <col min="7" max="7" width="14.57421875" style="33" bestFit="1" customWidth="1"/>
    <col min="8" max="8" width="12.7109375" style="33" customWidth="1"/>
    <col min="9" max="9" width="15.57421875" style="33" bestFit="1" customWidth="1"/>
  </cols>
  <sheetData>
    <row r="2" spans="2:10" ht="15.75">
      <c r="B2" s="16" t="s">
        <v>657</v>
      </c>
      <c r="C2" s="16"/>
      <c r="D2" s="16"/>
      <c r="F2" s="128"/>
      <c r="G2" s="32" t="s">
        <v>523</v>
      </c>
      <c r="I2" s="34"/>
      <c r="J2" s="128"/>
    </row>
    <row r="3" spans="2:10" ht="15.75">
      <c r="B3" s="16" t="s">
        <v>517</v>
      </c>
      <c r="C3" s="16"/>
      <c r="D3" s="16"/>
      <c r="F3" s="16"/>
      <c r="G3" s="35" t="s">
        <v>867</v>
      </c>
      <c r="I3" s="36"/>
      <c r="J3" s="16"/>
    </row>
    <row r="4" spans="2:10" ht="15.75">
      <c r="B4" s="16" t="s">
        <v>1009</v>
      </c>
      <c r="C4" s="16"/>
      <c r="D4" s="16"/>
      <c r="F4" s="16"/>
      <c r="G4" s="35" t="s">
        <v>868</v>
      </c>
      <c r="I4" s="36"/>
      <c r="J4" s="16"/>
    </row>
    <row r="6" spans="2:9" s="3" customFormat="1" ht="20.25">
      <c r="B6" s="222" t="s">
        <v>1071</v>
      </c>
      <c r="C6" s="222"/>
      <c r="D6" s="222"/>
      <c r="E6" s="222"/>
      <c r="F6" s="222"/>
      <c r="G6" s="222"/>
      <c r="H6" s="222"/>
      <c r="I6" s="222"/>
    </row>
    <row r="7" spans="5:9" s="3" customFormat="1" ht="12.75">
      <c r="E7" s="3" t="s">
        <v>121</v>
      </c>
      <c r="F7" s="40" t="s">
        <v>371</v>
      </c>
      <c r="G7" s="46"/>
      <c r="H7" s="46"/>
      <c r="I7" s="46"/>
    </row>
    <row r="8" spans="2:10" s="3" customFormat="1" ht="12.75">
      <c r="B8" s="223" t="s">
        <v>123</v>
      </c>
      <c r="C8" s="223" t="s">
        <v>124</v>
      </c>
      <c r="D8" s="223"/>
      <c r="E8" s="224" t="s">
        <v>108</v>
      </c>
      <c r="F8" s="224" t="s">
        <v>132</v>
      </c>
      <c r="G8" s="226" t="s">
        <v>128</v>
      </c>
      <c r="H8" s="227"/>
      <c r="I8" s="228" t="s">
        <v>1346</v>
      </c>
      <c r="J8" s="119" t="s">
        <v>371</v>
      </c>
    </row>
    <row r="9" spans="2:10" s="3" customFormat="1" ht="12.75">
      <c r="B9" s="223"/>
      <c r="C9" s="73" t="s">
        <v>126</v>
      </c>
      <c r="D9" s="73" t="s">
        <v>127</v>
      </c>
      <c r="E9" s="225"/>
      <c r="F9" s="225"/>
      <c r="G9" s="74" t="s">
        <v>130</v>
      </c>
      <c r="H9" s="74" t="s">
        <v>1072</v>
      </c>
      <c r="I9" s="229"/>
      <c r="J9" s="119" t="s">
        <v>150</v>
      </c>
    </row>
    <row r="10" spans="2:9" s="3" customFormat="1" ht="12.75">
      <c r="B10" s="44"/>
      <c r="C10" s="44"/>
      <c r="D10" s="44"/>
      <c r="E10" s="21" t="s">
        <v>364</v>
      </c>
      <c r="F10" s="44"/>
      <c r="G10" s="42"/>
      <c r="H10" s="42"/>
      <c r="I10" s="39">
        <f>VLOOKUP($F$7,BDMTK,6,0)</f>
        <v>120000000</v>
      </c>
    </row>
    <row r="11" spans="2:9" s="3" customFormat="1" ht="12.75">
      <c r="B11" s="44"/>
      <c r="C11" s="44"/>
      <c r="D11" s="44"/>
      <c r="E11" s="21" t="s">
        <v>131</v>
      </c>
      <c r="F11" s="44"/>
      <c r="G11" s="42">
        <f>SUMIF('CHUNG TU'!$I$5:$I$331,'Sổ chi tiết TM'!$F$7,'CHUNG TU'!$L$5:$L$331)</f>
        <v>266730000</v>
      </c>
      <c r="H11" s="42">
        <f>SUMIF('CHUNG TU'!$J$5:$J$331,'Sổ chi tiết TM'!$F$7,'CHUNG TU'!$L$5:$L$331)</f>
        <v>328095400</v>
      </c>
      <c r="I11" s="39"/>
    </row>
    <row r="12" spans="2:9" s="3" customFormat="1" ht="12.75">
      <c r="B12" s="44"/>
      <c r="C12" s="44"/>
      <c r="D12" s="44"/>
      <c r="E12" s="21" t="s">
        <v>367</v>
      </c>
      <c r="F12" s="44"/>
      <c r="G12" s="42"/>
      <c r="H12" s="42"/>
      <c r="I12" s="42">
        <f>I10+G11-H11</f>
        <v>58634600</v>
      </c>
    </row>
    <row r="13" spans="2:9" ht="12.75">
      <c r="B13" s="6">
        <v>1</v>
      </c>
      <c r="C13" s="6">
        <v>2</v>
      </c>
      <c r="D13" s="6">
        <v>3</v>
      </c>
      <c r="E13" s="6">
        <v>4</v>
      </c>
      <c r="F13" s="6">
        <v>5</v>
      </c>
      <c r="G13" s="37">
        <v>6</v>
      </c>
      <c r="H13" s="37">
        <v>7</v>
      </c>
      <c r="I13" s="38">
        <v>8</v>
      </c>
    </row>
    <row r="14" spans="2:9" ht="14.25">
      <c r="B14" s="129" t="str">
        <f>IF($F14&lt;&gt;"",'CHUNG TU'!A5,"")</f>
        <v>01/10/2020</v>
      </c>
      <c r="C14" s="129" t="str">
        <f>IF($F14&lt;&gt;"",'CHUNG TU'!B5,"")</f>
        <v>PT10/001</v>
      </c>
      <c r="D14" s="129" t="str">
        <f>IF($F14&lt;&gt;"",'CHUNG TU'!F5,"")</f>
        <v>01/10/2020</v>
      </c>
      <c r="E14" s="129" t="str">
        <f>IF($F14&lt;&gt;"",'CHUNG TU'!H5,"")</f>
        <v>Rút tiền gửi ngân hàng nhập quỹ tiền mặt</v>
      </c>
      <c r="F14" s="130" t="str">
        <f>IF($F$7='CHUNG TU'!I5,'CHUNG TU'!J5,IF($F$7='CHUNG TU'!J5,'CHUNG TU'!I5,""))</f>
        <v>1121</v>
      </c>
      <c r="G14" s="130">
        <f>IF($F$7='CHUNG TU'!I5,'CHUNG TU'!$L5,0)</f>
        <v>25000000</v>
      </c>
      <c r="H14" s="130">
        <f>IF($F$7='CHUNG TU'!J5,'CHUNG TU'!$L5,0)</f>
        <v>0</v>
      </c>
      <c r="I14" s="130">
        <f>IF(G14+H14&lt;&gt;0,$I$10+SUM($G$14:G14)-SUM($H$14:H14),0)</f>
        <v>145000000</v>
      </c>
    </row>
    <row r="15" spans="2:9" ht="14.25">
      <c r="B15" s="129" t="str">
        <f>IF($F15&lt;&gt;"",'CHUNG TU'!A6,"")</f>
        <v>01/10/2020</v>
      </c>
      <c r="C15" s="129" t="str">
        <f>IF($F15&lt;&gt;"",'CHUNG TU'!B6,"")</f>
        <v>PC10/001</v>
      </c>
      <c r="D15" s="129" t="str">
        <f>IF($F15&lt;&gt;"",'CHUNG TU'!F6,"")</f>
        <v>01/10/2020</v>
      </c>
      <c r="E15" s="129" t="str">
        <f>IF($F15&lt;&gt;"",'CHUNG TU'!H6,"")</f>
        <v>Chi phí ký kết hợp đồng liên doanh</v>
      </c>
      <c r="F15" s="130" t="str">
        <f>IF($F$7='CHUNG TU'!I6,'CHUNG TU'!J6,IF($F$7='CHUNG TU'!J6,'CHUNG TU'!I6,""))</f>
        <v>6358</v>
      </c>
      <c r="G15" s="130">
        <f>IF($F$7='CHUNG TU'!I6,'CHUNG TU'!$L6,0)</f>
        <v>0</v>
      </c>
      <c r="H15" s="130">
        <f>IF($F$7='CHUNG TU'!J6,'CHUNG TU'!$L6,0)</f>
        <v>2000000</v>
      </c>
      <c r="I15" s="130">
        <f>IF(G15+H15&lt;&gt;0,$I$10+SUM($G$14:G15)-SUM($H$14:H15),0)</f>
        <v>143000000</v>
      </c>
    </row>
    <row r="16" spans="2:9" ht="14.25">
      <c r="B16" s="129" t="str">
        <f>IF($F16&lt;&gt;"",'CHUNG TU'!A7,"")</f>
        <v>01/10/2020</v>
      </c>
      <c r="C16" s="129" t="str">
        <f>IF($F16&lt;&gt;"",'CHUNG TU'!B7,"")</f>
        <v>PC10/001</v>
      </c>
      <c r="D16" s="129" t="str">
        <f>IF($F16&lt;&gt;"",'CHUNG TU'!F7,"")</f>
        <v>01/10/2020</v>
      </c>
      <c r="E16" s="129" t="str">
        <f>IF($F16&lt;&gt;"",'CHUNG TU'!H7,"")</f>
        <v>Thuế GTGT được khấu trừ</v>
      </c>
      <c r="F16" s="130" t="str">
        <f>IF($F$7='CHUNG TU'!I7,'CHUNG TU'!J7,IF($F$7='CHUNG TU'!J7,'CHUNG TU'!I7,""))</f>
        <v>1331</v>
      </c>
      <c r="G16" s="130">
        <f>IF($F$7='CHUNG TU'!I7,'CHUNG TU'!$L7,0)</f>
        <v>0</v>
      </c>
      <c r="H16" s="130">
        <f>IF($F$7='CHUNG TU'!J7,'CHUNG TU'!$L7,0)</f>
        <v>200000</v>
      </c>
      <c r="I16" s="130">
        <f>IF(G16+H16&lt;&gt;0,$I$10+SUM($G$14:G16)-SUM($H$14:H16),0)</f>
        <v>142800000</v>
      </c>
    </row>
    <row r="17" spans="2:9" ht="14.25">
      <c r="B17" s="129" t="str">
        <f>IF($F17&lt;&gt;"",'CHUNG TU'!A8,"")</f>
        <v>01/10/2020</v>
      </c>
      <c r="C17" s="129" t="str">
        <f>IF($F17&lt;&gt;"",'CHUNG TU'!B8,"")</f>
        <v>PC10/002</v>
      </c>
      <c r="D17" s="129" t="str">
        <f>IF($F17&lt;&gt;"",'CHUNG TU'!F8,"")</f>
        <v>01/10/2020</v>
      </c>
      <c r="E17" s="129" t="str">
        <f>IF($F17&lt;&gt;"",'CHUNG TU'!H8,"")</f>
        <v>Chi tạm ứng Nguyễn Minh Ngân</v>
      </c>
      <c r="F17" s="130" t="str">
        <f>IF($F$7='CHUNG TU'!I8,'CHUNG TU'!J8,IF($F$7='CHUNG TU'!J8,'CHUNG TU'!I8,""))</f>
        <v>141.001</v>
      </c>
      <c r="G17" s="130">
        <f>IF($F$7='CHUNG TU'!I8,'CHUNG TU'!$L8,0)</f>
        <v>0</v>
      </c>
      <c r="H17" s="130">
        <f>IF($F$7='CHUNG TU'!J8,'CHUNG TU'!$L8,0)</f>
        <v>500000</v>
      </c>
      <c r="I17" s="130">
        <f>IF(G17+H17&lt;&gt;0,$I$10+SUM($G$14:G17)-SUM($H$14:H17),0)</f>
        <v>142300000</v>
      </c>
    </row>
    <row r="18" spans="2:9" ht="14.25">
      <c r="B18" s="129" t="str">
        <f>IF($F18&lt;&gt;"",'CHUNG TU'!A9,"")</f>
        <v>01/10/2020</v>
      </c>
      <c r="C18" s="129" t="str">
        <f>IF($F18&lt;&gt;"",'CHUNG TU'!B9,"")</f>
        <v>PC10/003</v>
      </c>
      <c r="D18" s="129" t="str">
        <f>IF($F18&lt;&gt;"",'CHUNG TU'!F9,"")</f>
        <v>01/10/2020</v>
      </c>
      <c r="E18" s="129" t="str">
        <f>IF($F18&lt;&gt;"",'CHUNG TU'!H9,"")</f>
        <v>Chi cước phí đường bộ</v>
      </c>
      <c r="F18" s="130" t="str">
        <f>IF($F$7='CHUNG TU'!I9,'CHUNG TU'!J9,IF($F$7='CHUNG TU'!J9,'CHUNG TU'!I9,""))</f>
        <v>6428</v>
      </c>
      <c r="G18" s="130">
        <f>IF($F$7='CHUNG TU'!I9,'CHUNG TU'!$L9,0)</f>
        <v>0</v>
      </c>
      <c r="H18" s="130">
        <f>IF($F$7='CHUNG TU'!J9,'CHUNG TU'!$L9,0)</f>
        <v>50000</v>
      </c>
      <c r="I18" s="130">
        <f>IF(G18+H18&lt;&gt;0,$I$10+SUM($G$14:G18)-SUM($H$14:H18),0)</f>
        <v>142250000</v>
      </c>
    </row>
    <row r="19" spans="2:9" ht="14.25">
      <c r="B19" s="129" t="str">
        <f>IF($F19&lt;&gt;"",'CHUNG TU'!A10,"")</f>
        <v>01/10/2020</v>
      </c>
      <c r="C19" s="129" t="str">
        <f>IF($F19&lt;&gt;"",'CHUNG TU'!B10,"")</f>
        <v>PC10/004</v>
      </c>
      <c r="D19" s="129" t="str">
        <f>IF($F19&lt;&gt;"",'CHUNG TU'!F10,"")</f>
        <v>01/10/2020</v>
      </c>
      <c r="E19" s="129" t="str">
        <f>IF($F19&lt;&gt;"",'CHUNG TU'!H10,"")</f>
        <v>Chi thanh toán lương cho CNV tháng 09/2019</v>
      </c>
      <c r="F19" s="130" t="str">
        <f>IF($F$7='CHUNG TU'!I10,'CHUNG TU'!J10,IF($F$7='CHUNG TU'!J10,'CHUNG TU'!I10,""))</f>
        <v>3341</v>
      </c>
      <c r="G19" s="130">
        <f>IF($F$7='CHUNG TU'!I10,'CHUNG TU'!$L10,0)</f>
        <v>0</v>
      </c>
      <c r="H19" s="130">
        <f>IF($F$7='CHUNG TU'!J10,'CHUNG TU'!$L10,0)</f>
        <v>45620000</v>
      </c>
      <c r="I19" s="130">
        <f>IF(G19+H19&lt;&gt;0,$I$10+SUM($G$14:G19)-SUM($H$14:H19),0)</f>
        <v>96630000</v>
      </c>
    </row>
    <row r="20" spans="2:9" ht="14.25">
      <c r="B20" s="129" t="str">
        <f>IF($F20&lt;&gt;"",'CHUNG TU'!A11,"")</f>
        <v>02/10/2020</v>
      </c>
      <c r="C20" s="129" t="str">
        <f>IF($F20&lt;&gt;"",'CHUNG TU'!B11,"")</f>
        <v>PC10/005</v>
      </c>
      <c r="D20" s="129" t="str">
        <f>IF($F20&lt;&gt;"",'CHUNG TU'!F11,"")</f>
        <v>02/10/2020</v>
      </c>
      <c r="E20" s="129" t="str">
        <f>IF($F20&lt;&gt;"",'CHUNG TU'!H11,"")</f>
        <v>Chi tiền mặt VND mua 1.000 USD, TGTT: 20.000đ/USD</v>
      </c>
      <c r="F20" s="130" t="str">
        <f>IF($F$7='CHUNG TU'!I11,'CHUNG TU'!J11,IF($F$7='CHUNG TU'!J11,'CHUNG TU'!I11,""))</f>
        <v>1131</v>
      </c>
      <c r="G20" s="130">
        <f>IF($F$7='CHUNG TU'!I11,'CHUNG TU'!$L11,0)</f>
        <v>0</v>
      </c>
      <c r="H20" s="130">
        <f>IF($F$7='CHUNG TU'!J11,'CHUNG TU'!$L11,0)</f>
        <v>20000000</v>
      </c>
      <c r="I20" s="130">
        <f>IF(G20+H20&lt;&gt;0,$I$10+SUM($G$14:G20)-SUM($H$14:H20),0)</f>
        <v>76630000</v>
      </c>
    </row>
    <row r="21" spans="2:9" ht="14.25">
      <c r="B21" s="129">
        <f>IF($F21&lt;&gt;"",'CHUNG TU'!A12,"")</f>
      </c>
      <c r="C21" s="129">
        <f>IF($F21&lt;&gt;"",'CHUNG TU'!B12,"")</f>
      </c>
      <c r="D21" s="129">
        <f>IF($F21&lt;&gt;"",'CHUNG TU'!F12,"")</f>
      </c>
      <c r="E21" s="129">
        <f>IF($F21&lt;&gt;"",'CHUNG TU'!H12,"")</f>
      </c>
      <c r="F21" s="130">
        <f>IF($F$7='CHUNG TU'!I12,'CHUNG TU'!J12,IF($F$7='CHUNG TU'!J12,'CHUNG TU'!I12,""))</f>
      </c>
      <c r="G21" s="130">
        <f>IF($F$7='CHUNG TU'!I12,'CHUNG TU'!$L12,0)</f>
        <v>0</v>
      </c>
      <c r="H21" s="130">
        <f>IF($F$7='CHUNG TU'!J12,'CHUNG TU'!$L12,0)</f>
        <v>0</v>
      </c>
      <c r="I21" s="130">
        <f>IF(G21+H21&lt;&gt;0,$I$10+SUM($G$14:G21)-SUM($H$14:H21),0)</f>
        <v>0</v>
      </c>
    </row>
    <row r="22" spans="2:9" ht="14.25">
      <c r="B22" s="129">
        <f>IF($F22&lt;&gt;"",'CHUNG TU'!A13,"")</f>
      </c>
      <c r="C22" s="129">
        <f>IF($F22&lt;&gt;"",'CHUNG TU'!B13,"")</f>
      </c>
      <c r="D22" s="129">
        <f>IF($F22&lt;&gt;"",'CHUNG TU'!F13,"")</f>
      </c>
      <c r="E22" s="129">
        <f>IF($F22&lt;&gt;"",'CHUNG TU'!H13,"")</f>
      </c>
      <c r="F22" s="130">
        <f>IF($F$7='CHUNG TU'!I13,'CHUNG TU'!J13,IF($F$7='CHUNG TU'!J13,'CHUNG TU'!I13,""))</f>
      </c>
      <c r="G22" s="130">
        <f>IF($F$7='CHUNG TU'!I13,'CHUNG TU'!$L13,0)</f>
        <v>0</v>
      </c>
      <c r="H22" s="130">
        <f>IF($F$7='CHUNG TU'!J13,'CHUNG TU'!$L13,0)</f>
        <v>0</v>
      </c>
      <c r="I22" s="130">
        <f>IF(G22+H22&lt;&gt;0,$I$10+SUM($G$14:G22)-SUM($H$14:H22),0)</f>
        <v>0</v>
      </c>
    </row>
    <row r="23" spans="2:9" ht="14.25">
      <c r="B23" s="129">
        <f>IF($F23&lt;&gt;"",'CHUNG TU'!A14,"")</f>
      </c>
      <c r="C23" s="129">
        <f>IF($F23&lt;&gt;"",'CHUNG TU'!B14,"")</f>
      </c>
      <c r="D23" s="129">
        <f>IF($F23&lt;&gt;"",'CHUNG TU'!F14,"")</f>
      </c>
      <c r="E23" s="129">
        <f>IF($F23&lt;&gt;"",'CHUNG TU'!H14,"")</f>
      </c>
      <c r="F23" s="130">
        <f>IF($F$7='CHUNG TU'!I14,'CHUNG TU'!J14,IF($F$7='CHUNG TU'!J14,'CHUNG TU'!I14,""))</f>
      </c>
      <c r="G23" s="130">
        <f>IF($F$7='CHUNG TU'!I14,'CHUNG TU'!$L14,0)</f>
        <v>0</v>
      </c>
      <c r="H23" s="130">
        <f>IF($F$7='CHUNG TU'!J14,'CHUNG TU'!$L14,0)</f>
        <v>0</v>
      </c>
      <c r="I23" s="130">
        <f>IF(G23+H23&lt;&gt;0,$I$10+SUM($G$14:G23)-SUM($H$14:H23),0)</f>
        <v>0</v>
      </c>
    </row>
    <row r="24" spans="2:9" ht="14.25">
      <c r="B24" s="129">
        <f>IF($F24&lt;&gt;"",'CHUNG TU'!A15,"")</f>
      </c>
      <c r="C24" s="129">
        <f>IF($F24&lt;&gt;"",'CHUNG TU'!B15,"")</f>
      </c>
      <c r="D24" s="129">
        <f>IF($F24&lt;&gt;"",'CHUNG TU'!F15,"")</f>
      </c>
      <c r="E24" s="129">
        <f>IF($F24&lt;&gt;"",'CHUNG TU'!H15,"")</f>
      </c>
      <c r="F24" s="130">
        <f>IF($F$7='CHUNG TU'!I15,'CHUNG TU'!J15,IF($F$7='CHUNG TU'!J15,'CHUNG TU'!I15,""))</f>
      </c>
      <c r="G24" s="130">
        <f>IF($F$7='CHUNG TU'!I15,'CHUNG TU'!$L15,0)</f>
        <v>0</v>
      </c>
      <c r="H24" s="130">
        <f>IF($F$7='CHUNG TU'!J15,'CHUNG TU'!$L15,0)</f>
        <v>0</v>
      </c>
      <c r="I24" s="130">
        <f>IF(G24+H24&lt;&gt;0,$I$10+SUM($G$14:G24)-SUM($H$14:H24),0)</f>
        <v>0</v>
      </c>
    </row>
    <row r="25" spans="2:9" ht="14.25">
      <c r="B25" s="129" t="str">
        <f>IF($F25&lt;&gt;"",'CHUNG TU'!A16,"")</f>
        <v>02/10/2020</v>
      </c>
      <c r="C25" s="129" t="str">
        <f>IF($F25&lt;&gt;"",'CHUNG TU'!B16,"")</f>
        <v>PC10/006</v>
      </c>
      <c r="D25" s="129" t="str">
        <f>IF($F25&lt;&gt;"",'CHUNG TU'!F16,"")</f>
        <v>02/10/2020</v>
      </c>
      <c r="E25" s="129" t="str">
        <f>IF($F25&lt;&gt;"",'CHUNG TU'!H16,"")</f>
        <v>Chi phí vận chuyển lô hàng của Công ty GEMARTRANS</v>
      </c>
      <c r="F25" s="130" t="str">
        <f>IF($F$7='CHUNG TU'!I16,'CHUNG TU'!J16,IF($F$7='CHUNG TU'!J16,'CHUNG TU'!I16,""))</f>
        <v>1521.A01</v>
      </c>
      <c r="G25" s="130">
        <f>IF($F$7='CHUNG TU'!I16,'CHUNG TU'!$L16,0)</f>
        <v>0</v>
      </c>
      <c r="H25" s="130">
        <f>IF($F$7='CHUNG TU'!J16,'CHUNG TU'!$L16,0)</f>
        <v>1000000</v>
      </c>
      <c r="I25" s="130">
        <f>IF(G25+H25&lt;&gt;0,$I$10+SUM($G$14:G25)-SUM($H$14:H25),0)</f>
        <v>75630000</v>
      </c>
    </row>
    <row r="26" spans="2:9" ht="14.25">
      <c r="B26" s="129" t="str">
        <f>IF($F26&lt;&gt;"",'CHUNG TU'!A17,"")</f>
        <v>02/10/2020</v>
      </c>
      <c r="C26" s="129" t="str">
        <f>IF($F26&lt;&gt;"",'CHUNG TU'!B17,"")</f>
        <v>PC10/006</v>
      </c>
      <c r="D26" s="129" t="str">
        <f>IF($F26&lt;&gt;"",'CHUNG TU'!F17,"")</f>
        <v>02/10/2020</v>
      </c>
      <c r="E26" s="129" t="str">
        <f>IF($F26&lt;&gt;"",'CHUNG TU'!H17,"")</f>
        <v>Thuế GTGT được khấu trừ</v>
      </c>
      <c r="F26" s="130" t="str">
        <f>IF($F$7='CHUNG TU'!I17,'CHUNG TU'!J17,IF($F$7='CHUNG TU'!J17,'CHUNG TU'!I17,""))</f>
        <v>1331</v>
      </c>
      <c r="G26" s="130">
        <f>IF($F$7='CHUNG TU'!I17,'CHUNG TU'!$L17,0)</f>
        <v>0</v>
      </c>
      <c r="H26" s="130">
        <f>IF($F$7='CHUNG TU'!J17,'CHUNG TU'!$L17,0)</f>
        <v>100000</v>
      </c>
      <c r="I26" s="130">
        <f>IF(G26+H26&lt;&gt;0,$I$10+SUM($G$14:G26)-SUM($H$14:H26),0)</f>
        <v>75530000</v>
      </c>
    </row>
    <row r="27" spans="2:9" ht="14.25">
      <c r="B27" s="129" t="str">
        <f>IF($F27&lt;&gt;"",'CHUNG TU'!A18,"")</f>
        <v>03/10/2020</v>
      </c>
      <c r="C27" s="129" t="str">
        <f>IF($F27&lt;&gt;"",'CHUNG TU'!B18,"")</f>
        <v>PC10/007</v>
      </c>
      <c r="D27" s="129" t="str">
        <f>IF($F27&lt;&gt;"",'CHUNG TU'!F18,"")</f>
        <v>03/10/2020</v>
      </c>
      <c r="E27" s="129" t="str">
        <f>IF($F27&lt;&gt;"",'CHUNG TU'!H18,"")</f>
        <v>Chi tiếp khách</v>
      </c>
      <c r="F27" s="130" t="str">
        <f>IF($F$7='CHUNG TU'!I18,'CHUNG TU'!J18,IF($F$7='CHUNG TU'!J18,'CHUNG TU'!I18,""))</f>
        <v>6428</v>
      </c>
      <c r="G27" s="130">
        <f>IF($F$7='CHUNG TU'!I18,'CHUNG TU'!$L18,0)</f>
        <v>0</v>
      </c>
      <c r="H27" s="130">
        <f>IF($F$7='CHUNG TU'!J18,'CHUNG TU'!$L18,0)</f>
        <v>1200000</v>
      </c>
      <c r="I27" s="130">
        <f>IF(G27+H27&lt;&gt;0,$I$10+SUM($G$14:G27)-SUM($H$14:H27),0)</f>
        <v>74330000</v>
      </c>
    </row>
    <row r="28" spans="2:9" ht="14.25">
      <c r="B28" s="129" t="str">
        <f>IF($F28&lt;&gt;"",'CHUNG TU'!A19,"")</f>
        <v>03/10/2020</v>
      </c>
      <c r="C28" s="129" t="str">
        <f>IF($F28&lt;&gt;"",'CHUNG TU'!B19,"")</f>
        <v>PC10/007</v>
      </c>
      <c r="D28" s="129" t="str">
        <f>IF($F28&lt;&gt;"",'CHUNG TU'!F19,"")</f>
        <v>03/10/2020</v>
      </c>
      <c r="E28" s="129" t="str">
        <f>IF($F28&lt;&gt;"",'CHUNG TU'!H19,"")</f>
        <v>Thuế GTGT được khấu trừ</v>
      </c>
      <c r="F28" s="130" t="str">
        <f>IF($F$7='CHUNG TU'!I19,'CHUNG TU'!J19,IF($F$7='CHUNG TU'!J19,'CHUNG TU'!I19,""))</f>
        <v>1331</v>
      </c>
      <c r="G28" s="130">
        <f>IF($F$7='CHUNG TU'!I19,'CHUNG TU'!$L19,0)</f>
        <v>0</v>
      </c>
      <c r="H28" s="130">
        <f>IF($F$7='CHUNG TU'!J19,'CHUNG TU'!$L19,0)</f>
        <v>120000</v>
      </c>
      <c r="I28" s="130">
        <f>IF(G28+H28&lt;&gt;0,$I$10+SUM($G$14:G28)-SUM($H$14:H28),0)</f>
        <v>74210000</v>
      </c>
    </row>
    <row r="29" spans="2:9" ht="14.25">
      <c r="B29" s="129" t="str">
        <f>IF($F29&lt;&gt;"",'CHUNG TU'!A20,"")</f>
        <v>03/10/2020</v>
      </c>
      <c r="C29" s="129" t="str">
        <f>IF($F29&lt;&gt;"",'CHUNG TU'!B20,"")</f>
        <v>PC10/008</v>
      </c>
      <c r="D29" s="129" t="str">
        <f>IF($F29&lt;&gt;"",'CHUNG TU'!F20,"")</f>
        <v>03/10/2020</v>
      </c>
      <c r="E29" s="129" t="str">
        <f>IF($F29&lt;&gt;"",'CHUNG TU'!H20,"")</f>
        <v>Chi tạm ứng cho Nguyễn Minh Ngân</v>
      </c>
      <c r="F29" s="130" t="str">
        <f>IF($F$7='CHUNG TU'!I20,'CHUNG TU'!J20,IF($F$7='CHUNG TU'!J20,'CHUNG TU'!I20,""))</f>
        <v>141.001</v>
      </c>
      <c r="G29" s="130">
        <f>IF($F$7='CHUNG TU'!I20,'CHUNG TU'!$L20,0)</f>
        <v>0</v>
      </c>
      <c r="H29" s="130">
        <f>IF($F$7='CHUNG TU'!J20,'CHUNG TU'!$L20,0)</f>
        <v>1000000</v>
      </c>
      <c r="I29" s="130">
        <f>IF(G29+H29&lt;&gt;0,$I$10+SUM($G$14:G29)-SUM($H$14:H29),0)</f>
        <v>73210000</v>
      </c>
    </row>
    <row r="30" spans="2:9" ht="14.25">
      <c r="B30" s="129">
        <f>IF($F30&lt;&gt;"",'CHUNG TU'!A21,"")</f>
      </c>
      <c r="C30" s="129">
        <f>IF($F30&lt;&gt;"",'CHUNG TU'!B21,"")</f>
      </c>
      <c r="D30" s="129">
        <f>IF($F30&lt;&gt;"",'CHUNG TU'!F21,"")</f>
      </c>
      <c r="E30" s="129">
        <f>IF($F30&lt;&gt;"",'CHUNG TU'!H21,"")</f>
      </c>
      <c r="F30" s="130">
        <f>IF($F$7='CHUNG TU'!I21,'CHUNG TU'!J21,IF($F$7='CHUNG TU'!J21,'CHUNG TU'!I21,""))</f>
      </c>
      <c r="G30" s="130">
        <f>IF($F$7='CHUNG TU'!I21,'CHUNG TU'!$L21,0)</f>
        <v>0</v>
      </c>
      <c r="H30" s="130">
        <f>IF($F$7='CHUNG TU'!J21,'CHUNG TU'!$L21,0)</f>
        <v>0</v>
      </c>
      <c r="I30" s="130">
        <f>IF(G30+H30&lt;&gt;0,$I$10+SUM($G$14:G30)-SUM($H$14:H30),0)</f>
        <v>0</v>
      </c>
    </row>
    <row r="31" spans="2:9" ht="14.25">
      <c r="B31" s="129">
        <f>IF($F31&lt;&gt;"",'CHUNG TU'!A22,"")</f>
      </c>
      <c r="C31" s="129">
        <f>IF($F31&lt;&gt;"",'CHUNG TU'!B22,"")</f>
      </c>
      <c r="D31" s="129">
        <f>IF($F31&lt;&gt;"",'CHUNG TU'!F22,"")</f>
      </c>
      <c r="E31" s="129">
        <f>IF($F31&lt;&gt;"",'CHUNG TU'!H22,"")</f>
      </c>
      <c r="F31" s="130">
        <f>IF($F$7='CHUNG TU'!I22,'CHUNG TU'!J22,IF($F$7='CHUNG TU'!J22,'CHUNG TU'!I22,""))</f>
      </c>
      <c r="G31" s="130">
        <f>IF($F$7='CHUNG TU'!I22,'CHUNG TU'!$L22,0)</f>
        <v>0</v>
      </c>
      <c r="H31" s="130">
        <f>IF($F$7='CHUNG TU'!J22,'CHUNG TU'!$L22,0)</f>
        <v>0</v>
      </c>
      <c r="I31" s="130">
        <f>IF(G31+H31&lt;&gt;0,$I$10+SUM($G$14:G31)-SUM($H$14:H31),0)</f>
        <v>0</v>
      </c>
    </row>
    <row r="32" spans="2:9" ht="14.25">
      <c r="B32" s="129" t="str">
        <f>IF($F32&lt;&gt;"",'CHUNG TU'!A23,"")</f>
        <v>05/10/2020</v>
      </c>
      <c r="C32" s="129" t="str">
        <f>IF($F32&lt;&gt;"",'CHUNG TU'!B23,"")</f>
        <v>PC10/009</v>
      </c>
      <c r="D32" s="129" t="str">
        <f>IF($F32&lt;&gt;"",'CHUNG TU'!F23,"")</f>
        <v>05/10/2020</v>
      </c>
      <c r="E32" s="129" t="str">
        <f>IF($F32&lt;&gt;"",'CHUNG TU'!H23,"")</f>
        <v>Chi mua PTTT, VLP của Công ty Tân tạo</v>
      </c>
      <c r="F32" s="130" t="str">
        <f>IF($F$7='CHUNG TU'!I23,'CHUNG TU'!J23,IF($F$7='CHUNG TU'!J23,'CHUNG TU'!I23,""))</f>
        <v>1522.B01</v>
      </c>
      <c r="G32" s="130">
        <f>IF($F$7='CHUNG TU'!I23,'CHUNG TU'!$L23,0)</f>
        <v>0</v>
      </c>
      <c r="H32" s="130">
        <f>IF($F$7='CHUNG TU'!J23,'CHUNG TU'!$L23,0)</f>
        <v>3300000</v>
      </c>
      <c r="I32" s="130">
        <f>IF(G32+H32&lt;&gt;0,$I$10+SUM($G$14:G32)-SUM($H$14:H32),0)</f>
        <v>69910000</v>
      </c>
    </row>
    <row r="33" spans="2:9" ht="14.25">
      <c r="B33" s="129" t="str">
        <f>IF($F33&lt;&gt;"",'CHUNG TU'!A24,"")</f>
        <v>05/10/2020</v>
      </c>
      <c r="C33" s="129" t="str">
        <f>IF($F33&lt;&gt;"",'CHUNG TU'!B24,"")</f>
        <v>PC10/009</v>
      </c>
      <c r="D33" s="129" t="str">
        <f>IF($F33&lt;&gt;"",'CHUNG TU'!F24,"")</f>
        <v>05/10/2020</v>
      </c>
      <c r="E33" s="129" t="str">
        <f>IF($F33&lt;&gt;"",'CHUNG TU'!H24,"")</f>
        <v>Thuế GTGT được khấu trừ</v>
      </c>
      <c r="F33" s="130" t="str">
        <f>IF($F$7='CHUNG TU'!I24,'CHUNG TU'!J24,IF($F$7='CHUNG TU'!J24,'CHUNG TU'!I24,""))</f>
        <v>1331</v>
      </c>
      <c r="G33" s="130">
        <f>IF($F$7='CHUNG TU'!I24,'CHUNG TU'!$L24,0)</f>
        <v>0</v>
      </c>
      <c r="H33" s="130">
        <f>IF($F$7='CHUNG TU'!J24,'CHUNG TU'!$L24,0)</f>
        <v>330000</v>
      </c>
      <c r="I33" s="130">
        <f>IF(G33+H33&lt;&gt;0,$I$10+SUM($G$14:G33)-SUM($H$14:H33),0)</f>
        <v>69580000</v>
      </c>
    </row>
    <row r="34" spans="2:9" ht="14.25">
      <c r="B34" s="129" t="str">
        <f>IF($F34&lt;&gt;"",'CHUNG TU'!A25,"")</f>
        <v>05/10/2020</v>
      </c>
      <c r="C34" s="129" t="str">
        <f>IF($F34&lt;&gt;"",'CHUNG TU'!B25,"")</f>
        <v>PC10/010</v>
      </c>
      <c r="D34" s="129" t="str">
        <f>IF($F34&lt;&gt;"",'CHUNG TU'!F25,"")</f>
        <v>05/10/2020</v>
      </c>
      <c r="E34" s="129" t="str">
        <f>IF($F34&lt;&gt;"",'CHUNG TU'!H25,"")</f>
        <v>Chi mua PTTT, VLP</v>
      </c>
      <c r="F34" s="130" t="str">
        <f>IF($F$7='CHUNG TU'!I25,'CHUNG TU'!J25,IF($F$7='CHUNG TU'!J25,'CHUNG TU'!I25,""))</f>
        <v>1524.D01</v>
      </c>
      <c r="G34" s="130">
        <f>IF($F$7='CHUNG TU'!I25,'CHUNG TU'!$L25,0)</f>
        <v>0</v>
      </c>
      <c r="H34" s="130">
        <f>IF($F$7='CHUNG TU'!J25,'CHUNG TU'!$L25,0)</f>
        <v>7500000</v>
      </c>
      <c r="I34" s="130">
        <f>IF(G34+H34&lt;&gt;0,$I$10+SUM($G$14:G34)-SUM($H$14:H34),0)</f>
        <v>62080000</v>
      </c>
    </row>
    <row r="35" spans="2:9" ht="14.25">
      <c r="B35" s="129" t="str">
        <f>IF($F35&lt;&gt;"",'CHUNG TU'!A26,"")</f>
        <v>05/10/2020</v>
      </c>
      <c r="C35" s="129" t="str">
        <f>IF($F35&lt;&gt;"",'CHUNG TU'!B26,"")</f>
        <v>PC10/010</v>
      </c>
      <c r="D35" s="129" t="str">
        <f>IF($F35&lt;&gt;"",'CHUNG TU'!F26,"")</f>
        <v>05/10/2020</v>
      </c>
      <c r="E35" s="129" t="str">
        <f>IF($F35&lt;&gt;"",'CHUNG TU'!H26,"")</f>
        <v>Thuế GTGT được khấu trừ</v>
      </c>
      <c r="F35" s="130" t="str">
        <f>IF($F$7='CHUNG TU'!I26,'CHUNG TU'!J26,IF($F$7='CHUNG TU'!J26,'CHUNG TU'!I26,""))</f>
        <v>1331</v>
      </c>
      <c r="G35" s="130">
        <f>IF($F$7='CHUNG TU'!I26,'CHUNG TU'!$L26,0)</f>
        <v>0</v>
      </c>
      <c r="H35" s="130">
        <f>IF($F$7='CHUNG TU'!J26,'CHUNG TU'!$L26,0)</f>
        <v>750000</v>
      </c>
      <c r="I35" s="130">
        <f>IF(G35+H35&lt;&gt;0,$I$10+SUM($G$14:G35)-SUM($H$14:H35),0)</f>
        <v>61330000</v>
      </c>
    </row>
    <row r="36" spans="2:9" ht="14.25">
      <c r="B36" s="129" t="str">
        <f>IF($F36&lt;&gt;"",'CHUNG TU'!A27,"")</f>
        <v>05/10/2020</v>
      </c>
      <c r="C36" s="129" t="str">
        <f>IF($F36&lt;&gt;"",'CHUNG TU'!B27,"")</f>
        <v>PT10/002</v>
      </c>
      <c r="D36" s="129" t="str">
        <f>IF($F36&lt;&gt;"",'CHUNG TU'!F27,"")</f>
        <v>05/10/2020</v>
      </c>
      <c r="E36" s="129" t="str">
        <f>IF($F36&lt;&gt;"",'CHUNG TU'!H27,"")</f>
        <v>Vay ngắn hạn ngân hàng nhập quỹ tiền mặt</v>
      </c>
      <c r="F36" s="130" t="str">
        <f>IF($F$7='CHUNG TU'!I27,'CHUNG TU'!J27,IF($F$7='CHUNG TU'!J27,'CHUNG TU'!I27,""))</f>
        <v>3411</v>
      </c>
      <c r="G36" s="130">
        <f>IF($F$7='CHUNG TU'!I27,'CHUNG TU'!$L27,0)</f>
        <v>100000000</v>
      </c>
      <c r="H36" s="130">
        <f>IF($F$7='CHUNG TU'!J27,'CHUNG TU'!$L27,0)</f>
        <v>0</v>
      </c>
      <c r="I36" s="130">
        <f>IF(G36+H36&lt;&gt;0,$I$10+SUM($G$14:G36)-SUM($H$14:H36),0)</f>
        <v>161330000</v>
      </c>
    </row>
    <row r="37" spans="2:9" ht="14.25">
      <c r="B37" s="129" t="str">
        <f>IF($F37&lt;&gt;"",'CHUNG TU'!A28,"")</f>
        <v>05/10/2020</v>
      </c>
      <c r="C37" s="129" t="str">
        <f>IF($F37&lt;&gt;"",'CHUNG TU'!B28,"")</f>
        <v>PT10/003</v>
      </c>
      <c r="D37" s="129" t="str">
        <f>IF($F37&lt;&gt;"",'CHUNG TU'!F28,"")</f>
        <v>05/10/2020</v>
      </c>
      <c r="E37" s="129" t="str">
        <f>IF($F37&lt;&gt;"",'CHUNG TU'!H28,"")</f>
        <v>Thu tạm ứng thừa Nguyễn Minh Ngân</v>
      </c>
      <c r="F37" s="130" t="str">
        <f>IF($F$7='CHUNG TU'!I28,'CHUNG TU'!J28,IF($F$7='CHUNG TU'!J28,'CHUNG TU'!I28,""))</f>
        <v>141.001</v>
      </c>
      <c r="G37" s="130">
        <f>IF($F$7='CHUNG TU'!I28,'CHUNG TU'!$L28,0)</f>
        <v>100000</v>
      </c>
      <c r="H37" s="130">
        <f>IF($F$7='CHUNG TU'!J28,'CHUNG TU'!$L28,0)</f>
        <v>0</v>
      </c>
      <c r="I37" s="130">
        <f>IF(G37+H37&lt;&gt;0,$I$10+SUM($G$14:G37)-SUM($H$14:H37),0)</f>
        <v>161430000</v>
      </c>
    </row>
    <row r="38" spans="2:9" ht="14.25">
      <c r="B38" s="129" t="str">
        <f>IF($F38&lt;&gt;"",'CHUNG TU'!A29,"")</f>
        <v>06/10/2020</v>
      </c>
      <c r="C38" s="129" t="str">
        <f>IF($F38&lt;&gt;"",'CHUNG TU'!B29,"")</f>
        <v>PC10/011</v>
      </c>
      <c r="D38" s="129" t="str">
        <f>IF($F38&lt;&gt;"",'CHUNG TU'!F29,"")</f>
        <v>06/10/2020</v>
      </c>
      <c r="E38" s="129" t="str">
        <f>IF($F38&lt;&gt;"",'CHUNG TU'!H29,"")</f>
        <v>Thuế GTGT được khấu trừ</v>
      </c>
      <c r="F38" s="130" t="str">
        <f>IF($F$7='CHUNG TU'!I29,'CHUNG TU'!J29,IF($F$7='CHUNG TU'!J29,'CHUNG TU'!I29,""))</f>
        <v>1331</v>
      </c>
      <c r="G38" s="130">
        <f>IF($F$7='CHUNG TU'!I29,'CHUNG TU'!$L29,0)</f>
        <v>0</v>
      </c>
      <c r="H38" s="130">
        <f>IF($F$7='CHUNG TU'!J29,'CHUNG TU'!$L29,0)</f>
        <v>1250000</v>
      </c>
      <c r="I38" s="130">
        <f>IF(G38+H38&lt;&gt;0,$I$10+SUM($G$14:G38)-SUM($H$14:H38),0)</f>
        <v>160180000</v>
      </c>
    </row>
    <row r="39" spans="2:9" ht="14.25">
      <c r="B39" s="129" t="str">
        <f>IF($F39&lt;&gt;"",'CHUNG TU'!A30,"")</f>
        <v>06/10/2020</v>
      </c>
      <c r="C39" s="129" t="str">
        <f>IF($F39&lt;&gt;"",'CHUNG TU'!B30,"")</f>
        <v>PC10/011</v>
      </c>
      <c r="D39" s="129" t="str">
        <f>IF($F39&lt;&gt;"",'CHUNG TU'!F30,"")</f>
        <v>06/10/2020</v>
      </c>
      <c r="E39" s="129" t="str">
        <f>IF($F39&lt;&gt;"",'CHUNG TU'!H30,"")</f>
        <v>Chi mua CCDC nhập kho</v>
      </c>
      <c r="F39" s="130" t="str">
        <f>IF($F$7='CHUNG TU'!I30,'CHUNG TU'!J30,IF($F$7='CHUNG TU'!J30,'CHUNG TU'!I30,""))</f>
        <v>1531.X01</v>
      </c>
      <c r="G39" s="130">
        <f>IF($F$7='CHUNG TU'!I30,'CHUNG TU'!$L30,0)</f>
        <v>0</v>
      </c>
      <c r="H39" s="130">
        <f>IF($F$7='CHUNG TU'!J30,'CHUNG TU'!$L30,0)</f>
        <v>12500000</v>
      </c>
      <c r="I39" s="130">
        <f>IF(G39+H39&lt;&gt;0,$I$10+SUM($G$14:G39)-SUM($H$14:H39),0)</f>
        <v>147680000</v>
      </c>
    </row>
    <row r="40" spans="2:9" ht="14.25">
      <c r="B40" s="129" t="str">
        <f>IF($F40&lt;&gt;"",'CHUNG TU'!A31,"")</f>
        <v>07/10/2020</v>
      </c>
      <c r="C40" s="129" t="str">
        <f>IF($F40&lt;&gt;"",'CHUNG TU'!B31,"")</f>
        <v>PT10/004</v>
      </c>
      <c r="D40" s="129" t="str">
        <f>IF($F40&lt;&gt;"",'CHUNG TU'!F31,"")</f>
        <v>07/10/2020</v>
      </c>
      <c r="E40" s="129" t="str">
        <f>IF($F40&lt;&gt;"",'CHUNG TU'!H31,"")</f>
        <v>Thu tiền bồi thường vật chất của ông Tám</v>
      </c>
      <c r="F40" s="130" t="str">
        <f>IF($F$7='CHUNG TU'!I31,'CHUNG TU'!J31,IF($F$7='CHUNG TU'!J31,'CHUNG TU'!I31,""))</f>
        <v>13888</v>
      </c>
      <c r="G40" s="130">
        <f>IF($F$7='CHUNG TU'!I31,'CHUNG TU'!$L31,0)</f>
        <v>200000</v>
      </c>
      <c r="H40" s="130">
        <f>IF($F$7='CHUNG TU'!J31,'CHUNG TU'!$L31,0)</f>
        <v>0</v>
      </c>
      <c r="I40" s="130">
        <f>IF(G40+H40&lt;&gt;0,$I$10+SUM($G$14:G40)-SUM($H$14:H40),0)</f>
        <v>147880000</v>
      </c>
    </row>
    <row r="41" spans="2:9" ht="14.25">
      <c r="B41" s="129" t="str">
        <f>IF($F41&lt;&gt;"",'CHUNG TU'!A32,"")</f>
        <v>07/10/2020</v>
      </c>
      <c r="C41" s="129" t="str">
        <f>IF($F41&lt;&gt;"",'CHUNG TU'!B32,"")</f>
        <v>PT10/005</v>
      </c>
      <c r="D41" s="129" t="str">
        <f>IF($F41&lt;&gt;"",'CHUNG TU'!F32,"")</f>
        <v>07/10/2020</v>
      </c>
      <c r="E41" s="129" t="str">
        <f>IF($F41&lt;&gt;"",'CHUNG TU'!H32,"")</f>
        <v>Rút TGNH nhập quỹ tiền mặt</v>
      </c>
      <c r="F41" s="130" t="str">
        <f>IF($F$7='CHUNG TU'!I32,'CHUNG TU'!J32,IF($F$7='CHUNG TU'!J32,'CHUNG TU'!I32,""))</f>
        <v>1121</v>
      </c>
      <c r="G41" s="130">
        <f>IF($F$7='CHUNG TU'!I32,'CHUNG TU'!$L32,0)</f>
        <v>25000000</v>
      </c>
      <c r="H41" s="130">
        <f>IF($F$7='CHUNG TU'!J32,'CHUNG TU'!$L32,0)</f>
        <v>0</v>
      </c>
      <c r="I41" s="130">
        <f>IF(G41+H41&lt;&gt;0,$I$10+SUM($G$14:G41)-SUM($H$14:H41),0)</f>
        <v>172880000</v>
      </c>
    </row>
    <row r="42" spans="2:9" ht="14.25">
      <c r="B42" s="129" t="str">
        <f>IF($F42&lt;&gt;"",'CHUNG TU'!A33,"")</f>
        <v>08/10/2020</v>
      </c>
      <c r="C42" s="129" t="str">
        <f>IF($F42&lt;&gt;"",'CHUNG TU'!B33,"")</f>
        <v>PT10/006</v>
      </c>
      <c r="D42" s="129" t="str">
        <f>IF($F42&lt;&gt;"",'CHUNG TU'!F33,"")</f>
        <v>08/10/2020</v>
      </c>
      <c r="E42" s="129" t="str">
        <f>IF($F42&lt;&gt;"",'CHUNG TU'!H33,"")</f>
        <v>Người mua tạm ứng trước tiền mặt</v>
      </c>
      <c r="F42" s="130" t="str">
        <f>IF($F$7='CHUNG TU'!I33,'CHUNG TU'!J33,IF($F$7='CHUNG TU'!J33,'CHUNG TU'!I33,""))</f>
        <v>1311.001</v>
      </c>
      <c r="G42" s="130">
        <f>IF($F$7='CHUNG TU'!I33,'CHUNG TU'!$L33,0)</f>
        <v>40000000</v>
      </c>
      <c r="H42" s="130">
        <f>IF($F$7='CHUNG TU'!J33,'CHUNG TU'!$L33,0)</f>
        <v>0</v>
      </c>
      <c r="I42" s="130">
        <f>IF(G42+H42&lt;&gt;0,$I$10+SUM($G$14:G42)-SUM($H$14:H42),0)</f>
        <v>212880000</v>
      </c>
    </row>
    <row r="43" spans="2:9" ht="14.25">
      <c r="B43" s="129" t="str">
        <f>IF($F43&lt;&gt;"",'CHUNG TU'!A34,"")</f>
        <v>08/10/2020</v>
      </c>
      <c r="C43" s="129" t="str">
        <f>IF($F43&lt;&gt;"",'CHUNG TU'!B34,"")</f>
        <v>PT10/007</v>
      </c>
      <c r="D43" s="129" t="str">
        <f>IF($F43&lt;&gt;"",'CHUNG TU'!F34,"")</f>
        <v>08/10/2020</v>
      </c>
      <c r="E43" s="129" t="str">
        <f>IF($F43&lt;&gt;"",'CHUNG TU'!H34,"")</f>
        <v>Rút TGNH nhập quỹ tiền mặt</v>
      </c>
      <c r="F43" s="130" t="str">
        <f>IF($F$7='CHUNG TU'!I34,'CHUNG TU'!J34,IF($F$7='CHUNG TU'!J34,'CHUNG TU'!I34,""))</f>
        <v>1121</v>
      </c>
      <c r="G43" s="130">
        <f>IF($F$7='CHUNG TU'!I34,'CHUNG TU'!$L34,0)</f>
        <v>25000000</v>
      </c>
      <c r="H43" s="130">
        <f>IF($F$7='CHUNG TU'!J34,'CHUNG TU'!$L34,0)</f>
        <v>0</v>
      </c>
      <c r="I43" s="130">
        <f>IF(G43+H43&lt;&gt;0,$I$10+SUM($G$14:G43)-SUM($H$14:H43),0)</f>
        <v>237880000</v>
      </c>
    </row>
    <row r="44" spans="2:9" ht="14.25">
      <c r="B44" s="129" t="str">
        <f>IF($F44&lt;&gt;"",'CHUNG TU'!A35,"")</f>
        <v>08/10/2020</v>
      </c>
      <c r="C44" s="129" t="str">
        <f>IF($F44&lt;&gt;"",'CHUNG TU'!B35,"")</f>
        <v>PT10/008</v>
      </c>
      <c r="D44" s="129" t="str">
        <f>IF($F44&lt;&gt;"",'CHUNG TU'!F35,"")</f>
        <v>08/10/2020</v>
      </c>
      <c r="E44" s="129" t="str">
        <f>IF($F44&lt;&gt;"",'CHUNG TU'!H35,"")</f>
        <v>Thu tiền nhượng bán TSCĐ</v>
      </c>
      <c r="F44" s="130" t="str">
        <f>IF($F$7='CHUNG TU'!I35,'CHUNG TU'!J35,IF($F$7='CHUNG TU'!J35,'CHUNG TU'!I35,""))</f>
        <v>7111</v>
      </c>
      <c r="G44" s="130">
        <f>IF($F$7='CHUNG TU'!I35,'CHUNG TU'!$L35,0)</f>
        <v>12000000</v>
      </c>
      <c r="H44" s="130">
        <f>IF($F$7='CHUNG TU'!J35,'CHUNG TU'!$L35,0)</f>
        <v>0</v>
      </c>
      <c r="I44" s="130">
        <f>IF(G44+H44&lt;&gt;0,$I$10+SUM($G$14:G44)-SUM($H$14:H44),0)</f>
        <v>249880000</v>
      </c>
    </row>
    <row r="45" spans="2:9" ht="14.25">
      <c r="B45" s="129" t="str">
        <f>IF($F45&lt;&gt;"",'CHUNG TU'!A36,"")</f>
        <v>08/10/2020</v>
      </c>
      <c r="C45" s="129" t="str">
        <f>IF($F45&lt;&gt;"",'CHUNG TU'!B36,"")</f>
        <v>PT10/009</v>
      </c>
      <c r="D45" s="129" t="str">
        <f>IF($F45&lt;&gt;"",'CHUNG TU'!F36,"")</f>
        <v>08/10/2020</v>
      </c>
      <c r="E45" s="129" t="str">
        <f>IF($F45&lt;&gt;"",'CHUNG TU'!H36,"")</f>
        <v>Thuế GTGT phải nộp</v>
      </c>
      <c r="F45" s="130" t="str">
        <f>IF($F$7='CHUNG TU'!I36,'CHUNG TU'!J36,IF($F$7='CHUNG TU'!J36,'CHUNG TU'!I36,""))</f>
        <v>333111</v>
      </c>
      <c r="G45" s="130">
        <f>IF($F$7='CHUNG TU'!I36,'CHUNG TU'!$L36,0)</f>
        <v>1200000</v>
      </c>
      <c r="H45" s="130">
        <f>IF($F$7='CHUNG TU'!J36,'CHUNG TU'!$L36,0)</f>
        <v>0</v>
      </c>
      <c r="I45" s="130">
        <f>IF(G45+H45&lt;&gt;0,$I$10+SUM($G$14:G45)-SUM($H$14:H45),0)</f>
        <v>251080000</v>
      </c>
    </row>
    <row r="46" spans="2:9" ht="14.25">
      <c r="B46" s="129" t="str">
        <f>IF($F46&lt;&gt;"",'CHUNG TU'!A37,"")</f>
        <v>09/10/2020</v>
      </c>
      <c r="C46" s="129" t="str">
        <f>IF($F46&lt;&gt;"",'CHUNG TU'!B37,"")</f>
        <v>PT10/010</v>
      </c>
      <c r="D46" s="129" t="str">
        <f>IF($F46&lt;&gt;"",'CHUNG TU'!F37,"")</f>
        <v>09/10/2020</v>
      </c>
      <c r="E46" s="129" t="str">
        <f>IF($F46&lt;&gt;"",'CHUNG TU'!H37,"")</f>
        <v>Thu tạm ứng thừa Nguyễn Minh Ngân</v>
      </c>
      <c r="F46" s="130" t="str">
        <f>IF($F$7='CHUNG TU'!I37,'CHUNG TU'!J37,IF($F$7='CHUNG TU'!J37,'CHUNG TU'!I37,""))</f>
        <v>141.001</v>
      </c>
      <c r="G46" s="130">
        <f>IF($F$7='CHUNG TU'!I37,'CHUNG TU'!$L37,0)</f>
        <v>1000000</v>
      </c>
      <c r="H46" s="130">
        <f>IF($F$7='CHUNG TU'!J37,'CHUNG TU'!$L37,0)</f>
        <v>0</v>
      </c>
      <c r="I46" s="130">
        <f>IF(G46+H46&lt;&gt;0,$I$10+SUM($G$14:G46)-SUM($H$14:H46),0)</f>
        <v>252080000</v>
      </c>
    </row>
    <row r="47" spans="2:9" ht="14.25">
      <c r="B47" s="129" t="str">
        <f>IF($F47&lt;&gt;"",'CHUNG TU'!A38,"")</f>
        <v>09/10/2020</v>
      </c>
      <c r="C47" s="129" t="str">
        <f>IF($F47&lt;&gt;"",'CHUNG TU'!B38,"")</f>
        <v>PT10/011</v>
      </c>
      <c r="D47" s="129" t="str">
        <f>IF($F47&lt;&gt;"",'CHUNG TU'!F38,"")</f>
        <v>09/10/2020</v>
      </c>
      <c r="E47" s="129" t="str">
        <f>IF($F47&lt;&gt;"",'CHUNG TU'!H38,"")</f>
        <v>Thu tiền bồi thường vật chất ông Minh Hà</v>
      </c>
      <c r="F47" s="130" t="str">
        <f>IF($F$7='CHUNG TU'!I38,'CHUNG TU'!J38,IF($F$7='CHUNG TU'!J38,'CHUNG TU'!I38,""))</f>
        <v>13888</v>
      </c>
      <c r="G47" s="130">
        <f>IF($F$7='CHUNG TU'!I38,'CHUNG TU'!$L38,0)</f>
        <v>150000</v>
      </c>
      <c r="H47" s="130">
        <f>IF($F$7='CHUNG TU'!J38,'CHUNG TU'!$L38,0)</f>
        <v>0</v>
      </c>
      <c r="I47" s="130">
        <f>IF(G47+H47&lt;&gt;0,$I$10+SUM($G$14:G47)-SUM($H$14:H47),0)</f>
        <v>252230000</v>
      </c>
    </row>
    <row r="48" spans="2:9" ht="14.25">
      <c r="B48" s="129" t="str">
        <f>IF($F48&lt;&gt;"",'CHUNG TU'!A39,"")</f>
        <v>09/10/2020</v>
      </c>
      <c r="C48" s="129" t="str">
        <f>IF($F48&lt;&gt;"",'CHUNG TU'!B39,"")</f>
        <v>PT10/012</v>
      </c>
      <c r="D48" s="129" t="str">
        <f>IF($F48&lt;&gt;"",'CHUNG TU'!F39,"")</f>
        <v>09/10/2020</v>
      </c>
      <c r="E48" s="129" t="str">
        <f>IF($F48&lt;&gt;"",'CHUNG TU'!H39,"")</f>
        <v>Nguyễn Minh Ngân nộp tiền tạm ứng còn thừa</v>
      </c>
      <c r="F48" s="130" t="str">
        <f>IF($F$7='CHUNG TU'!I39,'CHUNG TU'!J39,IF($F$7='CHUNG TU'!J39,'CHUNG TU'!I39,""))</f>
        <v>141.001</v>
      </c>
      <c r="G48" s="130">
        <f>IF($F$7='CHUNG TU'!I39,'CHUNG TU'!$L39,0)</f>
        <v>80000</v>
      </c>
      <c r="H48" s="130">
        <f>IF($F$7='CHUNG TU'!J39,'CHUNG TU'!$L39,0)</f>
        <v>0</v>
      </c>
      <c r="I48" s="130">
        <f>IF(G48+H48&lt;&gt;0,$I$10+SUM($G$14:G48)-SUM($H$14:H48),0)</f>
        <v>252310000</v>
      </c>
    </row>
    <row r="49" spans="2:9" ht="14.25">
      <c r="B49" s="129" t="str">
        <f>IF($F49&lt;&gt;"",'CHUNG TU'!A40,"")</f>
        <v>10/10/2020</v>
      </c>
      <c r="C49" s="129" t="str">
        <f>IF($F49&lt;&gt;"",'CHUNG TU'!B40,"")</f>
        <v>PT10/013</v>
      </c>
      <c r="D49" s="129" t="str">
        <f>IF($F49&lt;&gt;"",'CHUNG TU'!F40,"")</f>
        <v>10/10/2020</v>
      </c>
      <c r="E49" s="129" t="str">
        <f>IF($F49&lt;&gt;"",'CHUNG TU'!H40,"")</f>
        <v>Rút TGNH nhập quỹ tiền mặt</v>
      </c>
      <c r="F49" s="130" t="str">
        <f>IF($F$7='CHUNG TU'!I40,'CHUNG TU'!J40,IF($F$7='CHUNG TU'!J40,'CHUNG TU'!I40,""))</f>
        <v>1121</v>
      </c>
      <c r="G49" s="130">
        <f>IF($F$7='CHUNG TU'!I40,'CHUNG TU'!$L40,0)</f>
        <v>15000000</v>
      </c>
      <c r="H49" s="130">
        <f>IF($F$7='CHUNG TU'!J40,'CHUNG TU'!$L40,0)</f>
        <v>0</v>
      </c>
      <c r="I49" s="130">
        <f>IF(G49+H49&lt;&gt;0,$I$10+SUM($G$14:G49)-SUM($H$14:H49),0)</f>
        <v>267310000</v>
      </c>
    </row>
    <row r="50" spans="2:9" ht="14.25">
      <c r="B50" s="129" t="str">
        <f>IF($F50&lt;&gt;"",'CHUNG TU'!A41,"")</f>
        <v>12/10/2020</v>
      </c>
      <c r="C50" s="129" t="str">
        <f>IF($F50&lt;&gt;"",'CHUNG TU'!B41,"")</f>
        <v>PC10/012</v>
      </c>
      <c r="D50" s="129" t="str">
        <f>IF($F50&lt;&gt;"",'CHUNG TU'!F41,"")</f>
        <v>12/10/2020</v>
      </c>
      <c r="E50" s="129" t="str">
        <f>IF($F50&lt;&gt;"",'CHUNG TU'!H41,"")</f>
        <v>Chi khen thưởng cho CB CNV</v>
      </c>
      <c r="F50" s="130" t="str">
        <f>IF($F$7='CHUNG TU'!I41,'CHUNG TU'!J41,IF($F$7='CHUNG TU'!J41,'CHUNG TU'!I41,""))</f>
        <v>3531</v>
      </c>
      <c r="G50" s="130">
        <f>IF($F$7='CHUNG TU'!I41,'CHUNG TU'!$L41,0)</f>
        <v>0</v>
      </c>
      <c r="H50" s="130">
        <f>IF($F$7='CHUNG TU'!J41,'CHUNG TU'!$L41,0)</f>
        <v>500000</v>
      </c>
      <c r="I50" s="130">
        <f>IF(G50+H50&lt;&gt;0,$I$10+SUM($G$14:G50)-SUM($H$14:H50),0)</f>
        <v>266810000</v>
      </c>
    </row>
    <row r="51" spans="2:9" ht="14.25">
      <c r="B51" s="129" t="str">
        <f>IF($F51&lt;&gt;"",'CHUNG TU'!A42,"")</f>
        <v>12/10/2015</v>
      </c>
      <c r="C51" s="129" t="str">
        <f>IF($F51&lt;&gt;"",'CHUNG TU'!B42,"")</f>
        <v>PC10/013</v>
      </c>
      <c r="D51" s="129" t="str">
        <f>IF($F51&lt;&gt;"",'CHUNG TU'!F42,"")</f>
        <v>12/10/2015</v>
      </c>
      <c r="E51" s="129" t="str">
        <f>IF($F51&lt;&gt;"",'CHUNG TU'!H42,"")</f>
        <v>Chi bảo dưỡng thiết bị máy móc văn phòng</v>
      </c>
      <c r="F51" s="130" t="str">
        <f>IF($F$7='CHUNG TU'!I42,'CHUNG TU'!J42,IF($F$7='CHUNG TU'!J42,'CHUNG TU'!I42,""))</f>
        <v>6427</v>
      </c>
      <c r="G51" s="130">
        <f>IF($F$7='CHUNG TU'!I42,'CHUNG TU'!$L42,0)</f>
        <v>0</v>
      </c>
      <c r="H51" s="130">
        <f>IF($F$7='CHUNG TU'!J42,'CHUNG TU'!$L42,0)</f>
        <v>500000</v>
      </c>
      <c r="I51" s="130">
        <f>IF(G51+H51&lt;&gt;0,$I$10+SUM($G$14:G51)-SUM($H$14:H51),0)</f>
        <v>266310000</v>
      </c>
    </row>
    <row r="52" spans="2:9" ht="14.25">
      <c r="B52" s="129" t="str">
        <f>IF($F52&lt;&gt;"",'CHUNG TU'!A43,"")</f>
        <v>12/10/2020</v>
      </c>
      <c r="C52" s="129" t="str">
        <f>IF($F52&lt;&gt;"",'CHUNG TU'!B43,"")</f>
        <v>PC10/013</v>
      </c>
      <c r="D52" s="129" t="str">
        <f>IF($F52&lt;&gt;"",'CHUNG TU'!F43,"")</f>
        <v>12/10/2020</v>
      </c>
      <c r="E52" s="129" t="str">
        <f>IF($F52&lt;&gt;"",'CHUNG TU'!H43,"")</f>
        <v>Thuế GTGT được khấu trừ</v>
      </c>
      <c r="F52" s="130" t="str">
        <f>IF($F$7='CHUNG TU'!I43,'CHUNG TU'!J43,IF($F$7='CHUNG TU'!J43,'CHUNG TU'!I43,""))</f>
        <v>1331</v>
      </c>
      <c r="G52" s="130">
        <f>IF($F$7='CHUNG TU'!I43,'CHUNG TU'!$L43,0)</f>
        <v>0</v>
      </c>
      <c r="H52" s="130">
        <f>IF($F$7='CHUNG TU'!J43,'CHUNG TU'!$L43,0)</f>
        <v>50000</v>
      </c>
      <c r="I52" s="130">
        <f>IF(G52+H52&lt;&gt;0,$I$10+SUM($G$14:G52)-SUM($H$14:H52),0)</f>
        <v>266260000</v>
      </c>
    </row>
    <row r="53" spans="2:9" ht="14.25">
      <c r="B53" s="129" t="str">
        <f>IF($F53&lt;&gt;"",'CHUNG TU'!A44,"")</f>
        <v>12/10/2020</v>
      </c>
      <c r="C53" s="129" t="str">
        <f>IF($F53&lt;&gt;"",'CHUNG TU'!B44,"")</f>
        <v>PC10/014</v>
      </c>
      <c r="D53" s="129" t="str">
        <f>IF($F53&lt;&gt;"",'CHUNG TU'!F44,"")</f>
        <v>12/10/2020</v>
      </c>
      <c r="E53" s="129" t="str">
        <f>IF($F53&lt;&gt;"",'CHUNG TU'!H44,"")</f>
        <v>Nộp tiền mặt vào ngân hàng</v>
      </c>
      <c r="F53" s="130" t="str">
        <f>IF($F$7='CHUNG TU'!I44,'CHUNG TU'!J44,IF($F$7='CHUNG TU'!J44,'CHUNG TU'!I44,""))</f>
        <v>1121</v>
      </c>
      <c r="G53" s="130">
        <f>IF($F$7='CHUNG TU'!I44,'CHUNG TU'!$L44,0)</f>
        <v>0</v>
      </c>
      <c r="H53" s="130">
        <f>IF($F$7='CHUNG TU'!J44,'CHUNG TU'!$L44,0)</f>
        <v>40000000</v>
      </c>
      <c r="I53" s="130">
        <f>IF(G53+H53&lt;&gt;0,$I$10+SUM($G$14:G53)-SUM($H$14:H53),0)</f>
        <v>226260000</v>
      </c>
    </row>
    <row r="54" spans="2:9" ht="14.25">
      <c r="B54" s="129">
        <f>IF($F54&lt;&gt;"",'CHUNG TU'!A45,"")</f>
      </c>
      <c r="C54" s="129">
        <f>IF($F54&lt;&gt;"",'CHUNG TU'!B45,"")</f>
      </c>
      <c r="D54" s="129">
        <f>IF($F54&lt;&gt;"",'CHUNG TU'!F45,"")</f>
      </c>
      <c r="E54" s="129">
        <f>IF($F54&lt;&gt;"",'CHUNG TU'!H45,"")</f>
      </c>
      <c r="F54" s="130">
        <f>IF($F$7='CHUNG TU'!I45,'CHUNG TU'!J45,IF($F$7='CHUNG TU'!J45,'CHUNG TU'!I45,""))</f>
      </c>
      <c r="G54" s="130">
        <f>IF($F$7='CHUNG TU'!I45,'CHUNG TU'!$L45,0)</f>
        <v>0</v>
      </c>
      <c r="H54" s="130">
        <f>IF($F$7='CHUNG TU'!J45,'CHUNG TU'!$L45,0)</f>
        <v>0</v>
      </c>
      <c r="I54" s="130">
        <f>IF(G54+H54&lt;&gt;0,$I$10+SUM($G$14:G54)-SUM($H$14:H54),0)</f>
        <v>0</v>
      </c>
    </row>
    <row r="55" spans="2:9" ht="14.25">
      <c r="B55" s="129" t="str">
        <f>IF($F55&lt;&gt;"",'CHUNG TU'!A46,"")</f>
        <v>12/10/2020</v>
      </c>
      <c r="C55" s="129" t="str">
        <f>IF($F55&lt;&gt;"",'CHUNG TU'!B46,"")</f>
        <v>PC10/015</v>
      </c>
      <c r="D55" s="129" t="str">
        <f>IF($F55&lt;&gt;"",'CHUNG TU'!F46,"")</f>
        <v>12/10/2020</v>
      </c>
      <c r="E55" s="129" t="str">
        <f>IF($F55&lt;&gt;"",'CHUNG TU'!H46,"")</f>
        <v>Chi ứng lương lần 1 cho CBCNV Tháng 10</v>
      </c>
      <c r="F55" s="130" t="str">
        <f>IF($F$7='CHUNG TU'!I46,'CHUNG TU'!J46,IF($F$7='CHUNG TU'!J46,'CHUNG TU'!I46,""))</f>
        <v>3341</v>
      </c>
      <c r="G55" s="130">
        <f>IF($F$7='CHUNG TU'!I46,'CHUNG TU'!$L46,0)</f>
        <v>0</v>
      </c>
      <c r="H55" s="130">
        <f>IF($F$7='CHUNG TU'!J46,'CHUNG TU'!$L46,0)</f>
        <v>35000000</v>
      </c>
      <c r="I55" s="130">
        <f>IF(G55+H55&lt;&gt;0,$I$10+SUM($G$14:G55)-SUM($H$14:H55),0)</f>
        <v>191260000</v>
      </c>
    </row>
    <row r="56" spans="2:9" ht="14.25">
      <c r="B56" s="129" t="str">
        <f>IF($F56&lt;&gt;"",'CHUNG TU'!A47,"")</f>
        <v>12/10/2020</v>
      </c>
      <c r="C56" s="129" t="str">
        <f>IF($F56&lt;&gt;"",'CHUNG TU'!B47,"")</f>
        <v>PC10/016</v>
      </c>
      <c r="D56" s="129" t="str">
        <f>IF($F56&lt;&gt;"",'CHUNG TU'!F47,"")</f>
        <v>12/10/2020</v>
      </c>
      <c r="E56" s="129" t="str">
        <f>IF($F56&lt;&gt;"",'CHUNG TU'!H47,"")</f>
        <v>Chi phí vận chuyển bốc vác của lô hàng Công ty Tân Tạo</v>
      </c>
      <c r="F56" s="130" t="str">
        <f>IF($F$7='CHUNG TU'!I47,'CHUNG TU'!J47,IF($F$7='CHUNG TU'!J47,'CHUNG TU'!I47,""))</f>
        <v>1522.B01</v>
      </c>
      <c r="G56" s="130">
        <f>IF($F$7='CHUNG TU'!I47,'CHUNG TU'!$L47,0)</f>
        <v>0</v>
      </c>
      <c r="H56" s="130">
        <f>IF($F$7='CHUNG TU'!J47,'CHUNG TU'!$L47,0)</f>
        <v>100000</v>
      </c>
      <c r="I56" s="130">
        <f>IF(G56+H56&lt;&gt;0,$I$10+SUM($G$14:G56)-SUM($H$14:H56),0)</f>
        <v>191160000</v>
      </c>
    </row>
    <row r="57" spans="2:9" ht="14.25">
      <c r="B57" s="129" t="str">
        <f>IF($F57&lt;&gt;"",'CHUNG TU'!A48,"")</f>
        <v>12/10/2020</v>
      </c>
      <c r="C57" s="129" t="str">
        <f>IF($F57&lt;&gt;"",'CHUNG TU'!B48,"")</f>
        <v>PC10/016</v>
      </c>
      <c r="D57" s="129" t="str">
        <f>IF($F57&lt;&gt;"",'CHUNG TU'!F48,"")</f>
        <v>12/10/2020</v>
      </c>
      <c r="E57" s="129" t="str">
        <f>IF($F57&lt;&gt;"",'CHUNG TU'!H48,"")</f>
        <v>Thuế GTGT được khấu trừ</v>
      </c>
      <c r="F57" s="130" t="str">
        <f>IF($F$7='CHUNG TU'!I48,'CHUNG TU'!J48,IF($F$7='CHUNG TU'!J48,'CHUNG TU'!I48,""))</f>
        <v>1331</v>
      </c>
      <c r="G57" s="130">
        <f>IF($F$7='CHUNG TU'!I48,'CHUNG TU'!$L48,0)</f>
        <v>0</v>
      </c>
      <c r="H57" s="130">
        <f>IF($F$7='CHUNG TU'!J48,'CHUNG TU'!$L48,0)</f>
        <v>10000</v>
      </c>
      <c r="I57" s="130">
        <f>IF(G57+H57&lt;&gt;0,$I$10+SUM($G$14:G57)-SUM($H$14:H57),0)</f>
        <v>191150000</v>
      </c>
    </row>
    <row r="58" spans="2:9" ht="14.25">
      <c r="B58" s="129" t="str">
        <f>IF($F58&lt;&gt;"",'CHUNG TU'!A49,"")</f>
        <v>12/10/2020</v>
      </c>
      <c r="C58" s="129" t="str">
        <f>IF($F58&lt;&gt;"",'CHUNG TU'!B49,"")</f>
        <v>PC10/017</v>
      </c>
      <c r="D58" s="129" t="str">
        <f>IF($F58&lt;&gt;"",'CHUNG TU'!F49,"")</f>
        <v>12/10/2020</v>
      </c>
      <c r="E58" s="129" t="str">
        <f>IF($F58&lt;&gt;"",'CHUNG TU'!H49,"")</f>
        <v>Sửa chữa thường xuyên xe du lịch</v>
      </c>
      <c r="F58" s="130" t="str">
        <f>IF($F$7='CHUNG TU'!I49,'CHUNG TU'!J49,IF($F$7='CHUNG TU'!J49,'CHUNG TU'!I49,""))</f>
        <v>6427</v>
      </c>
      <c r="G58" s="130">
        <f>IF($F$7='CHUNG TU'!I49,'CHUNG TU'!$L49,0)</f>
        <v>0</v>
      </c>
      <c r="H58" s="130">
        <f>IF($F$7='CHUNG TU'!J49,'CHUNG TU'!$L49,0)</f>
        <v>2000000</v>
      </c>
      <c r="I58" s="130">
        <f>IF(G58+H58&lt;&gt;0,$I$10+SUM($G$14:G58)-SUM($H$14:H58),0)</f>
        <v>189150000</v>
      </c>
    </row>
    <row r="59" spans="2:9" ht="14.25">
      <c r="B59" s="129" t="str">
        <f>IF($F59&lt;&gt;"",'CHUNG TU'!A50,"")</f>
        <v>12/10/2020</v>
      </c>
      <c r="C59" s="129" t="str">
        <f>IF($F59&lt;&gt;"",'CHUNG TU'!B50,"")</f>
        <v>PC10/017</v>
      </c>
      <c r="D59" s="129" t="str">
        <f>IF($F59&lt;&gt;"",'CHUNG TU'!F50,"")</f>
        <v>12/10/2020</v>
      </c>
      <c r="E59" s="129" t="str">
        <f>IF($F59&lt;&gt;"",'CHUNG TU'!H50,"")</f>
        <v>Thuế GTGT được khấu trừ</v>
      </c>
      <c r="F59" s="130" t="str">
        <f>IF($F$7='CHUNG TU'!I50,'CHUNG TU'!J50,IF($F$7='CHUNG TU'!J50,'CHUNG TU'!I50,""))</f>
        <v>1331</v>
      </c>
      <c r="G59" s="130">
        <f>IF($F$7='CHUNG TU'!I50,'CHUNG TU'!$L50,0)</f>
        <v>0</v>
      </c>
      <c r="H59" s="130">
        <f>IF($F$7='CHUNG TU'!J50,'CHUNG TU'!$L50,0)</f>
        <v>200000</v>
      </c>
      <c r="I59" s="130">
        <f>IF(G59+H59&lt;&gt;0,$I$10+SUM($G$14:G59)-SUM($H$14:H59),0)</f>
        <v>188950000</v>
      </c>
    </row>
    <row r="60" spans="2:9" ht="14.25">
      <c r="B60" s="129" t="str">
        <f>IF($F60&lt;&gt;"",'CHUNG TU'!A51,"")</f>
        <v>12/10/2020</v>
      </c>
      <c r="C60" s="129" t="str">
        <f>IF($F60&lt;&gt;"",'CHUNG TU'!B51,"")</f>
        <v>PC10/018</v>
      </c>
      <c r="D60" s="129" t="str">
        <f>IF($F60&lt;&gt;"",'CHUNG TU'!F51,"")</f>
        <v>12/10/2020</v>
      </c>
      <c r="E60" s="129" t="str">
        <f>IF($F60&lt;&gt;"",'CHUNG TU'!H51,"")</f>
        <v>Sửa chữa TSCĐ ở PXSX chính</v>
      </c>
      <c r="F60" s="130" t="str">
        <f>IF($F$7='CHUNG TU'!I51,'CHUNG TU'!J51,IF($F$7='CHUNG TU'!J51,'CHUNG TU'!I51,""))</f>
        <v>6277.PX1</v>
      </c>
      <c r="G60" s="130">
        <f>IF($F$7='CHUNG TU'!I51,'CHUNG TU'!$L51,0)</f>
        <v>0</v>
      </c>
      <c r="H60" s="130">
        <f>IF($F$7='CHUNG TU'!J51,'CHUNG TU'!$L51,0)</f>
        <v>1200000</v>
      </c>
      <c r="I60" s="130">
        <f>IF(G60+H60&lt;&gt;0,$I$10+SUM($G$14:G60)-SUM($H$14:H60),0)</f>
        <v>187750000</v>
      </c>
    </row>
    <row r="61" spans="2:9" ht="14.25">
      <c r="B61" s="129" t="str">
        <f>IF($F61&lt;&gt;"",'CHUNG TU'!A52,"")</f>
        <v>12/10/2020</v>
      </c>
      <c r="C61" s="129" t="str">
        <f>IF($F61&lt;&gt;"",'CHUNG TU'!B52,"")</f>
        <v>PC10/018</v>
      </c>
      <c r="D61" s="129" t="str">
        <f>IF($F61&lt;&gt;"",'CHUNG TU'!F52,"")</f>
        <v>12/10/2020</v>
      </c>
      <c r="E61" s="129" t="str">
        <f>IF($F61&lt;&gt;"",'CHUNG TU'!H52,"")</f>
        <v>Thuế GTGT được khấu trừ</v>
      </c>
      <c r="F61" s="130" t="str">
        <f>IF($F$7='CHUNG TU'!I52,'CHUNG TU'!J52,IF($F$7='CHUNG TU'!J52,'CHUNG TU'!I52,""))</f>
        <v>1331</v>
      </c>
      <c r="G61" s="130">
        <f>IF($F$7='CHUNG TU'!I52,'CHUNG TU'!$L52,0)</f>
        <v>0</v>
      </c>
      <c r="H61" s="130">
        <f>IF($F$7='CHUNG TU'!J52,'CHUNG TU'!$L52,0)</f>
        <v>120000</v>
      </c>
      <c r="I61" s="130">
        <f>IF(G61+H61&lt;&gt;0,$I$10+SUM($G$14:G61)-SUM($H$14:H61),0)</f>
        <v>187630000</v>
      </c>
    </row>
    <row r="62" spans="2:9" ht="14.25">
      <c r="B62" s="129" t="str">
        <f>IF($F62&lt;&gt;"",'CHUNG TU'!A53,"")</f>
        <v>14/10/2020</v>
      </c>
      <c r="C62" s="129" t="str">
        <f>IF($F62&lt;&gt;"",'CHUNG TU'!B53,"")</f>
        <v>PC10/019</v>
      </c>
      <c r="D62" s="129" t="str">
        <f>IF($F62&lt;&gt;"",'CHUNG TU'!F53,"")</f>
        <v>14/10/2020</v>
      </c>
      <c r="E62" s="129" t="str">
        <f>IF($F62&lt;&gt;"",'CHUNG TU'!H53,"")</f>
        <v>Tạm ứng cho Nguyễn Minh Ngân</v>
      </c>
      <c r="F62" s="130" t="str">
        <f>IF($F$7='CHUNG TU'!I53,'CHUNG TU'!J53,IF($F$7='CHUNG TU'!J53,'CHUNG TU'!I53,""))</f>
        <v>141.001</v>
      </c>
      <c r="G62" s="130">
        <f>IF($F$7='CHUNG TU'!I53,'CHUNG TU'!$L53,0)</f>
        <v>0</v>
      </c>
      <c r="H62" s="130">
        <f>IF($F$7='CHUNG TU'!J53,'CHUNG TU'!$L53,0)</f>
        <v>2000000</v>
      </c>
      <c r="I62" s="130">
        <f>IF(G62+H62&lt;&gt;0,$I$10+SUM($G$14:G62)-SUM($H$14:H62),0)</f>
        <v>185630000</v>
      </c>
    </row>
    <row r="63" spans="2:9" ht="14.25">
      <c r="B63" s="129" t="str">
        <f>IF($F63&lt;&gt;"",'CHUNG TU'!A54,"")</f>
        <v>14/10/2020</v>
      </c>
      <c r="C63" s="129" t="str">
        <f>IF($F63&lt;&gt;"",'CHUNG TU'!B54,"")</f>
        <v>PC10/020</v>
      </c>
      <c r="D63" s="129" t="str">
        <f>IF($F63&lt;&gt;"",'CHUNG TU'!F54,"")</f>
        <v>14/10/2020</v>
      </c>
      <c r="E63" s="129" t="str">
        <f>IF($F63&lt;&gt;"",'CHUNG TU'!H54,"")</f>
        <v>Mua tài sản cố định</v>
      </c>
      <c r="F63" s="130" t="str">
        <f>IF($F$7='CHUNG TU'!I54,'CHUNG TU'!J54,IF($F$7='CHUNG TU'!J54,'CHUNG TU'!I54,""))</f>
        <v>211</v>
      </c>
      <c r="G63" s="130">
        <f>IF($F$7='CHUNG TU'!I54,'CHUNG TU'!$L54,0)</f>
        <v>0</v>
      </c>
      <c r="H63" s="130">
        <f>IF($F$7='CHUNG TU'!J54,'CHUNG TU'!$L54,0)</f>
        <v>35000000</v>
      </c>
      <c r="I63" s="130">
        <f>IF(G63+H63&lt;&gt;0,$I$10+SUM($G$14:G63)-SUM($H$14:H63),0)</f>
        <v>150630000</v>
      </c>
    </row>
    <row r="64" spans="2:9" ht="14.25">
      <c r="B64" s="129" t="str">
        <f>IF($F64&lt;&gt;"",'CHUNG TU'!A55,"")</f>
        <v>14/10/2020</v>
      </c>
      <c r="C64" s="129" t="str">
        <f>IF($F64&lt;&gt;"",'CHUNG TU'!B55,"")</f>
        <v>PC10/020</v>
      </c>
      <c r="D64" s="129" t="str">
        <f>IF($F64&lt;&gt;"",'CHUNG TU'!F55,"")</f>
        <v>14/10/2020</v>
      </c>
      <c r="E64" s="129" t="str">
        <f>IF($F64&lt;&gt;"",'CHUNG TU'!H55,"")</f>
        <v>Thuế GTGT được khấu trừ</v>
      </c>
      <c r="F64" s="130" t="str">
        <f>IF($F$7='CHUNG TU'!I55,'CHUNG TU'!J55,IF($F$7='CHUNG TU'!J55,'CHUNG TU'!I55,""))</f>
        <v>1332</v>
      </c>
      <c r="G64" s="130">
        <f>IF($F$7='CHUNG TU'!I55,'CHUNG TU'!$L55,0)</f>
        <v>0</v>
      </c>
      <c r="H64" s="130">
        <f>IF($F$7='CHUNG TU'!J55,'CHUNG TU'!$L55,0)</f>
        <v>3500000</v>
      </c>
      <c r="I64" s="130">
        <f>IF(G64+H64&lt;&gt;0,$I$10+SUM($G$14:G64)-SUM($H$14:H64),0)</f>
        <v>147130000</v>
      </c>
    </row>
    <row r="65" spans="2:9" ht="14.25">
      <c r="B65" s="129" t="str">
        <f>IF($F65&lt;&gt;"",'CHUNG TU'!A56,"")</f>
        <v>14/10/2020</v>
      </c>
      <c r="C65" s="129" t="str">
        <f>IF($F65&lt;&gt;"",'CHUNG TU'!B56,"")</f>
        <v>PC10/021</v>
      </c>
      <c r="D65" s="129" t="str">
        <f>IF($F65&lt;&gt;"",'CHUNG TU'!F56,"")</f>
        <v>14/10/2020</v>
      </c>
      <c r="E65" s="129" t="str">
        <f>IF($F65&lt;&gt;"",'CHUNG TU'!H56,"")</f>
        <v>Mua tín phiếu mệnh giá 20000, Tbằng6t, LSbằng12%/năm</v>
      </c>
      <c r="F65" s="130" t="str">
        <f>IF($F$7='CHUNG TU'!I56,'CHUNG TU'!J56,IF($F$7='CHUNG TU'!J56,'CHUNG TU'!I56,""))</f>
        <v>12122</v>
      </c>
      <c r="G65" s="130">
        <f>IF($F$7='CHUNG TU'!I56,'CHUNG TU'!$L56,0)</f>
        <v>0</v>
      </c>
      <c r="H65" s="130">
        <f>IF($F$7='CHUNG TU'!J56,'CHUNG TU'!$L56,0)</f>
        <v>30000000</v>
      </c>
      <c r="I65" s="130">
        <f>IF(G65+H65&lt;&gt;0,$I$10+SUM($G$14:G65)-SUM($H$14:H65),0)</f>
        <v>117130000</v>
      </c>
    </row>
    <row r="66" spans="2:9" ht="14.25">
      <c r="B66" s="129" t="str">
        <f>IF($F66&lt;&gt;"",'CHUNG TU'!A57,"")</f>
        <v>14/10/2020</v>
      </c>
      <c r="C66" s="129" t="str">
        <f>IF($F66&lt;&gt;"",'CHUNG TU'!B57,"")</f>
        <v>PC10/022</v>
      </c>
      <c r="D66" s="129" t="str">
        <f>IF($F66&lt;&gt;"",'CHUNG TU'!F57,"")</f>
        <v>14/10/2020</v>
      </c>
      <c r="E66" s="129" t="str">
        <f>IF($F66&lt;&gt;"",'CHUNG TU'!H57,"")</f>
        <v>Chi mua bản quyền sản phẩm</v>
      </c>
      <c r="F66" s="130" t="str">
        <f>IF($F$7='CHUNG TU'!I57,'CHUNG TU'!J57,IF($F$7='CHUNG TU'!J57,'CHUNG TU'!I57,""))</f>
        <v>213</v>
      </c>
      <c r="G66" s="130">
        <f>IF($F$7='CHUNG TU'!I57,'CHUNG TU'!$L57,0)</f>
        <v>0</v>
      </c>
      <c r="H66" s="130">
        <f>IF($F$7='CHUNG TU'!J57,'CHUNG TU'!$L57,0)</f>
        <v>40000000</v>
      </c>
      <c r="I66" s="130">
        <f>IF(G66+H66&lt;&gt;0,$I$10+SUM($G$14:G66)-SUM($H$14:H66),0)</f>
        <v>77130000</v>
      </c>
    </row>
    <row r="67" spans="2:9" ht="14.25">
      <c r="B67" s="129" t="str">
        <f>IF($F67&lt;&gt;"",'CHUNG TU'!A58,"")</f>
        <v>15/10/2020</v>
      </c>
      <c r="C67" s="129" t="str">
        <f>IF($F67&lt;&gt;"",'CHUNG TU'!B58,"")</f>
        <v>PC10/023</v>
      </c>
      <c r="D67" s="129" t="str">
        <f>IF($F67&lt;&gt;"",'CHUNG TU'!F58,"")</f>
        <v>15/10/2020</v>
      </c>
      <c r="E67" s="129" t="str">
        <f>IF($F67&lt;&gt;"",'CHUNG TU'!H58,"")</f>
        <v>Chi tạm ứng cho Nguyễn Minh Ngân</v>
      </c>
      <c r="F67" s="130" t="str">
        <f>IF($F$7='CHUNG TU'!I58,'CHUNG TU'!J58,IF($F$7='CHUNG TU'!J58,'CHUNG TU'!I58,""))</f>
        <v>141.001</v>
      </c>
      <c r="G67" s="130">
        <f>IF($F$7='CHUNG TU'!I58,'CHUNG TU'!$L58,0)</f>
        <v>0</v>
      </c>
      <c r="H67" s="130">
        <f>IF($F$7='CHUNG TU'!J58,'CHUNG TU'!$L58,0)</f>
        <v>400000</v>
      </c>
      <c r="I67" s="130">
        <f>IF(G67+H67&lt;&gt;0,$I$10+SUM($G$14:G67)-SUM($H$14:H67),0)</f>
        <v>76730000</v>
      </c>
    </row>
    <row r="68" spans="2:9" ht="14.25">
      <c r="B68" s="129" t="str">
        <f>IF($F68&lt;&gt;"",'CHUNG TU'!A59,"")</f>
        <v>15/10/2020</v>
      </c>
      <c r="C68" s="129" t="str">
        <f>IF($F68&lt;&gt;"",'CHUNG TU'!B59,"")</f>
        <v>PC10/024</v>
      </c>
      <c r="D68" s="129" t="str">
        <f>IF($F68&lt;&gt;"",'CHUNG TU'!F59,"")</f>
        <v>15/10/2020</v>
      </c>
      <c r="E68" s="129" t="str">
        <f>IF($F68&lt;&gt;"",'CHUNG TU'!H59,"")</f>
        <v>Chi phí công đoàn</v>
      </c>
      <c r="F68" s="130" t="str">
        <f>IF($F$7='CHUNG TU'!I59,'CHUNG TU'!J59,IF($F$7='CHUNG TU'!J59,'CHUNG TU'!I59,""))</f>
        <v>3382</v>
      </c>
      <c r="G68" s="130">
        <f>IF($F$7='CHUNG TU'!I59,'CHUNG TU'!$L59,0)</f>
        <v>0</v>
      </c>
      <c r="H68" s="130">
        <f>IF($F$7='CHUNG TU'!J59,'CHUNG TU'!$L59,0)</f>
        <v>1500000</v>
      </c>
      <c r="I68" s="130">
        <f>IF(G68+H68&lt;&gt;0,$I$10+SUM($G$14:G68)-SUM($H$14:H68),0)</f>
        <v>75230000</v>
      </c>
    </row>
    <row r="69" spans="2:9" ht="14.25">
      <c r="B69" s="129" t="str">
        <f>IF($F69&lt;&gt;"",'CHUNG TU'!A60,"")</f>
        <v>15/10/2020</v>
      </c>
      <c r="C69" s="129" t="str">
        <f>IF($F69&lt;&gt;"",'CHUNG TU'!B60,"")</f>
        <v>PC10/025</v>
      </c>
      <c r="D69" s="129" t="str">
        <f>IF($F69&lt;&gt;"",'CHUNG TU'!F60,"")</f>
        <v>15/10/2020</v>
      </c>
      <c r="E69" s="129" t="str">
        <f>IF($F69&lt;&gt;"",'CHUNG TU'!H60,"")</f>
        <v>Chi tiền mặt ứng trước cho Công ty TNHH Yến Phi</v>
      </c>
      <c r="F69" s="130" t="str">
        <f>IF($F$7='CHUNG TU'!I60,'CHUNG TU'!J60,IF($F$7='CHUNG TU'!J60,'CHUNG TU'!I60,""))</f>
        <v>3311.013</v>
      </c>
      <c r="G69" s="130">
        <f>IF($F$7='CHUNG TU'!I60,'CHUNG TU'!$L60,0)</f>
        <v>0</v>
      </c>
      <c r="H69" s="130">
        <f>IF($F$7='CHUNG TU'!J60,'CHUNG TU'!$L60,0)</f>
        <v>10000000</v>
      </c>
      <c r="I69" s="130">
        <f>IF(G69+H69&lt;&gt;0,$I$10+SUM($G$14:G69)-SUM($H$14:H69),0)</f>
        <v>65230000</v>
      </c>
    </row>
    <row r="70" spans="2:9" ht="14.25">
      <c r="B70" s="129" t="str">
        <f>IF($F70&lt;&gt;"",'CHUNG TU'!A61,"")</f>
        <v>15/10/2020</v>
      </c>
      <c r="C70" s="129" t="str">
        <f>IF($F70&lt;&gt;"",'CHUNG TU'!B61,"")</f>
        <v>PC10/026</v>
      </c>
      <c r="D70" s="129" t="str">
        <f>IF($F70&lt;&gt;"",'CHUNG TU'!F61,"")</f>
        <v>15/10/2020</v>
      </c>
      <c r="E70" s="129" t="str">
        <f>IF($F70&lt;&gt;"",'CHUNG TU'!H61,"")</f>
        <v>Mua công cụ dụng cụ</v>
      </c>
      <c r="F70" s="130" t="str">
        <f>IF($F$7='CHUNG TU'!I61,'CHUNG TU'!J61,IF($F$7='CHUNG TU'!J61,'CHUNG TU'!I61,""))</f>
        <v>1531.X01</v>
      </c>
      <c r="G70" s="130">
        <f>IF($F$7='CHUNG TU'!I61,'CHUNG TU'!$L61,0)</f>
        <v>0</v>
      </c>
      <c r="H70" s="130">
        <f>IF($F$7='CHUNG TU'!J61,'CHUNG TU'!$L61,0)</f>
        <v>15314000</v>
      </c>
      <c r="I70" s="130">
        <f>IF(G70+H70&lt;&gt;0,$I$10+SUM($G$14:G70)-SUM($H$14:H70),0)</f>
        <v>49916000</v>
      </c>
    </row>
    <row r="71" spans="2:9" ht="14.25">
      <c r="B71" s="129" t="str">
        <f>IF($F71&lt;&gt;"",'CHUNG TU'!A62,"")</f>
        <v>15/10/2020</v>
      </c>
      <c r="C71" s="129" t="str">
        <f>IF($F71&lt;&gt;"",'CHUNG TU'!B62,"")</f>
        <v>PC10/026</v>
      </c>
      <c r="D71" s="129" t="str">
        <f>IF($F71&lt;&gt;"",'CHUNG TU'!F62,"")</f>
        <v>15/10/2020</v>
      </c>
      <c r="E71" s="129" t="str">
        <f>IF($F71&lt;&gt;"",'CHUNG TU'!H62,"")</f>
        <v>Thuế GTGT được khấu trừ</v>
      </c>
      <c r="F71" s="130" t="str">
        <f>IF($F$7='CHUNG TU'!I62,'CHUNG TU'!J62,IF($F$7='CHUNG TU'!J62,'CHUNG TU'!I62,""))</f>
        <v>1331</v>
      </c>
      <c r="G71" s="130">
        <f>IF($F$7='CHUNG TU'!I62,'CHUNG TU'!$L62,0)</f>
        <v>0</v>
      </c>
      <c r="H71" s="130">
        <f>IF($F$7='CHUNG TU'!J62,'CHUNG TU'!$L62,0)</f>
        <v>1531400</v>
      </c>
      <c r="I71" s="130">
        <f>IF(G71+H71&lt;&gt;0,$I$10+SUM($G$14:G71)-SUM($H$14:H71),0)</f>
        <v>48384600</v>
      </c>
    </row>
    <row r="72" spans="2:9" ht="14.25">
      <c r="B72" s="129">
        <f>IF($F72&lt;&gt;"",'CHUNG TU'!A63,"")</f>
      </c>
      <c r="C72" s="129">
        <f>IF($F72&lt;&gt;"",'CHUNG TU'!B63,"")</f>
      </c>
      <c r="D72" s="129">
        <f>IF($F72&lt;&gt;"",'CHUNG TU'!F63,"")</f>
      </c>
      <c r="E72" s="129">
        <f>IF($F72&lt;&gt;"",'CHUNG TU'!H63,"")</f>
      </c>
      <c r="F72" s="130">
        <f>IF($F$7='CHUNG TU'!I63,'CHUNG TU'!J63,IF($F$7='CHUNG TU'!J63,'CHUNG TU'!I63,""))</f>
      </c>
      <c r="G72" s="130">
        <f>IF($F$7='CHUNG TU'!I63,'CHUNG TU'!$L63,0)</f>
        <v>0</v>
      </c>
      <c r="H72" s="130">
        <f>IF($F$7='CHUNG TU'!J63,'CHUNG TU'!$L63,0)</f>
        <v>0</v>
      </c>
      <c r="I72" s="130">
        <f>IF(G72+H72&lt;&gt;0,$I$10+SUM($G$14:G72)-SUM($H$14:H72),0)</f>
        <v>0</v>
      </c>
    </row>
    <row r="73" spans="2:9" ht="14.25">
      <c r="B73" s="129">
        <f>IF($F73&lt;&gt;"",'CHUNG TU'!A64,"")</f>
      </c>
      <c r="C73" s="129">
        <f>IF($F73&lt;&gt;"",'CHUNG TU'!B64,"")</f>
      </c>
      <c r="D73" s="129">
        <f>IF($F73&lt;&gt;"",'CHUNG TU'!F64,"")</f>
      </c>
      <c r="E73" s="129">
        <f>IF($F73&lt;&gt;"",'CHUNG TU'!H64,"")</f>
      </c>
      <c r="F73" s="130">
        <f>IF($F$7='CHUNG TU'!I64,'CHUNG TU'!J64,IF($F$7='CHUNG TU'!J64,'CHUNG TU'!I64,""))</f>
      </c>
      <c r="G73" s="130">
        <f>IF($F$7='CHUNG TU'!I64,'CHUNG TU'!$L64,0)</f>
        <v>0</v>
      </c>
      <c r="H73" s="130">
        <f>IF($F$7='CHUNG TU'!J64,'CHUNG TU'!$L64,0)</f>
        <v>0</v>
      </c>
      <c r="I73" s="130">
        <f>IF(G73+H73&lt;&gt;0,$I$10+SUM($G$14:G73)-SUM($H$14:H73),0)</f>
        <v>0</v>
      </c>
    </row>
    <row r="74" spans="2:9" ht="14.25">
      <c r="B74" s="129">
        <f>IF($F74&lt;&gt;"",'CHUNG TU'!A65,"")</f>
      </c>
      <c r="C74" s="129">
        <f>IF($F74&lt;&gt;"",'CHUNG TU'!B65,"")</f>
      </c>
      <c r="D74" s="129">
        <f>IF($F74&lt;&gt;"",'CHUNG TU'!F65,"")</f>
      </c>
      <c r="E74" s="129">
        <f>IF($F74&lt;&gt;"",'CHUNG TU'!H65,"")</f>
      </c>
      <c r="F74" s="130">
        <f>IF($F$7='CHUNG TU'!I65,'CHUNG TU'!J65,IF($F$7='CHUNG TU'!J65,'CHUNG TU'!I65,""))</f>
      </c>
      <c r="G74" s="130">
        <f>IF($F$7='CHUNG TU'!I65,'CHUNG TU'!$L65,0)</f>
        <v>0</v>
      </c>
      <c r="H74" s="130">
        <f>IF($F$7='CHUNG TU'!J65,'CHUNG TU'!$L65,0)</f>
        <v>0</v>
      </c>
      <c r="I74" s="130">
        <f>IF(G74+H74&lt;&gt;0,$I$10+SUM($G$14:G74)-SUM($H$14:H74),0)</f>
        <v>0</v>
      </c>
    </row>
    <row r="75" spans="2:9" ht="14.25">
      <c r="B75" s="129">
        <f>IF($F75&lt;&gt;"",'CHUNG TU'!A66,"")</f>
      </c>
      <c r="C75" s="129">
        <f>IF($F75&lt;&gt;"",'CHUNG TU'!B66,"")</f>
      </c>
      <c r="D75" s="129">
        <f>IF($F75&lt;&gt;"",'CHUNG TU'!F66,"")</f>
      </c>
      <c r="E75" s="129">
        <f>IF($F75&lt;&gt;"",'CHUNG TU'!H66,"")</f>
      </c>
      <c r="F75" s="130">
        <f>IF($F$7='CHUNG TU'!I66,'CHUNG TU'!J66,IF($F$7='CHUNG TU'!J66,'CHUNG TU'!I66,""))</f>
      </c>
      <c r="G75" s="130">
        <f>IF($F$7='CHUNG TU'!I66,'CHUNG TU'!$L66,0)</f>
        <v>0</v>
      </c>
      <c r="H75" s="130">
        <f>IF($F$7='CHUNG TU'!J66,'CHUNG TU'!$L66,0)</f>
        <v>0</v>
      </c>
      <c r="I75" s="130">
        <f>IF(G75+H75&lt;&gt;0,$I$10+SUM($G$14:G75)-SUM($H$14:H75),0)</f>
        <v>0</v>
      </c>
    </row>
    <row r="76" spans="2:9" ht="14.25">
      <c r="B76" s="129">
        <f>IF($F76&lt;&gt;"",'CHUNG TU'!A67,"")</f>
      </c>
      <c r="C76" s="129">
        <f>IF($F76&lt;&gt;"",'CHUNG TU'!B67,"")</f>
      </c>
      <c r="D76" s="129">
        <f>IF($F76&lt;&gt;"",'CHUNG TU'!F67,"")</f>
      </c>
      <c r="E76" s="129">
        <f>IF($F76&lt;&gt;"",'CHUNG TU'!H67,"")</f>
      </c>
      <c r="F76" s="130">
        <f>IF($F$7='CHUNG TU'!I67,'CHUNG TU'!J67,IF($F$7='CHUNG TU'!J67,'CHUNG TU'!I67,""))</f>
      </c>
      <c r="G76" s="130">
        <f>IF($F$7='CHUNG TU'!I67,'CHUNG TU'!$L67,0)</f>
        <v>0</v>
      </c>
      <c r="H76" s="130">
        <f>IF($F$7='CHUNG TU'!J67,'CHUNG TU'!$L67,0)</f>
        <v>0</v>
      </c>
      <c r="I76" s="130">
        <f>IF(G76+H76&lt;&gt;0,$I$10+SUM($G$14:G76)-SUM($H$14:H76),0)</f>
        <v>0</v>
      </c>
    </row>
    <row r="77" spans="2:9" ht="14.25">
      <c r="B77" s="129">
        <f>IF($F77&lt;&gt;"",'CHUNG TU'!A68,"")</f>
      </c>
      <c r="C77" s="129">
        <f>IF($F77&lt;&gt;"",'CHUNG TU'!B68,"")</f>
      </c>
      <c r="D77" s="129">
        <f>IF($F77&lt;&gt;"",'CHUNG TU'!F68,"")</f>
      </c>
      <c r="E77" s="129">
        <f>IF($F77&lt;&gt;"",'CHUNG TU'!H68,"")</f>
      </c>
      <c r="F77" s="130">
        <f>IF($F$7='CHUNG TU'!I68,'CHUNG TU'!J68,IF($F$7='CHUNG TU'!J68,'CHUNG TU'!I68,""))</f>
      </c>
      <c r="G77" s="130">
        <f>IF($F$7='CHUNG TU'!I68,'CHUNG TU'!$L68,0)</f>
        <v>0</v>
      </c>
      <c r="H77" s="130">
        <f>IF($F$7='CHUNG TU'!J68,'CHUNG TU'!$L68,0)</f>
        <v>0</v>
      </c>
      <c r="I77" s="130">
        <f>IF(G77+H77&lt;&gt;0,$I$10+SUM($G$14:G77)-SUM($H$14:H77),0)</f>
        <v>0</v>
      </c>
    </row>
    <row r="78" spans="2:9" ht="14.25">
      <c r="B78" s="129">
        <f>IF($F78&lt;&gt;"",'CHUNG TU'!A69,"")</f>
      </c>
      <c r="C78" s="129">
        <f>IF($F78&lt;&gt;"",'CHUNG TU'!B69,"")</f>
      </c>
      <c r="D78" s="129">
        <f>IF($F78&lt;&gt;"",'CHUNG TU'!F69,"")</f>
      </c>
      <c r="E78" s="129">
        <f>IF($F78&lt;&gt;"",'CHUNG TU'!H69,"")</f>
      </c>
      <c r="F78" s="130">
        <f>IF($F$7='CHUNG TU'!I69,'CHUNG TU'!J69,IF($F$7='CHUNG TU'!J69,'CHUNG TU'!I69,""))</f>
      </c>
      <c r="G78" s="130">
        <f>IF($F$7='CHUNG TU'!I69,'CHUNG TU'!$L69,0)</f>
        <v>0</v>
      </c>
      <c r="H78" s="130">
        <f>IF($F$7='CHUNG TU'!J69,'CHUNG TU'!$L69,0)</f>
        <v>0</v>
      </c>
      <c r="I78" s="130">
        <f>IF(G78+H78&lt;&gt;0,$I$10+SUM($G$14:G78)-SUM($H$14:H78),0)</f>
        <v>0</v>
      </c>
    </row>
    <row r="79" spans="2:9" ht="14.25">
      <c r="B79" s="129">
        <f>IF($F79&lt;&gt;"",'CHUNG TU'!A70,"")</f>
      </c>
      <c r="C79" s="129">
        <f>IF($F79&lt;&gt;"",'CHUNG TU'!B70,"")</f>
      </c>
      <c r="D79" s="129">
        <f>IF($F79&lt;&gt;"",'CHUNG TU'!F70,"")</f>
      </c>
      <c r="E79" s="129">
        <f>IF($F79&lt;&gt;"",'CHUNG TU'!H70,"")</f>
      </c>
      <c r="F79" s="130">
        <f>IF($F$7='CHUNG TU'!I70,'CHUNG TU'!J70,IF($F$7='CHUNG TU'!J70,'CHUNG TU'!I70,""))</f>
      </c>
      <c r="G79" s="130">
        <f>IF($F$7='CHUNG TU'!I70,'CHUNG TU'!$L70,0)</f>
        <v>0</v>
      </c>
      <c r="H79" s="130">
        <f>IF($F$7='CHUNG TU'!J70,'CHUNG TU'!$L70,0)</f>
        <v>0</v>
      </c>
      <c r="I79" s="130">
        <f>IF(G79+H79&lt;&gt;0,$I$10+SUM($G$14:G79)-SUM($H$14:H79),0)</f>
        <v>0</v>
      </c>
    </row>
    <row r="80" spans="2:9" ht="14.25">
      <c r="B80" s="129">
        <f>IF($F80&lt;&gt;"",'CHUNG TU'!A71,"")</f>
      </c>
      <c r="C80" s="129">
        <f>IF($F80&lt;&gt;"",'CHUNG TU'!B71,"")</f>
      </c>
      <c r="D80" s="129">
        <f>IF($F80&lt;&gt;"",'CHUNG TU'!F71,"")</f>
      </c>
      <c r="E80" s="129">
        <f>IF($F80&lt;&gt;"",'CHUNG TU'!H71,"")</f>
      </c>
      <c r="F80" s="130">
        <f>IF($F$7='CHUNG TU'!I71,'CHUNG TU'!J71,IF($F$7='CHUNG TU'!J71,'CHUNG TU'!I71,""))</f>
      </c>
      <c r="G80" s="130">
        <f>IF($F$7='CHUNG TU'!I71,'CHUNG TU'!$L71,0)</f>
        <v>0</v>
      </c>
      <c r="H80" s="130">
        <f>IF($F$7='CHUNG TU'!J71,'CHUNG TU'!$L71,0)</f>
        <v>0</v>
      </c>
      <c r="I80" s="130">
        <f>IF(G80+H80&lt;&gt;0,$I$10+SUM($G$14:G80)-SUM($H$14:H80),0)</f>
        <v>0</v>
      </c>
    </row>
    <row r="81" spans="2:9" ht="14.25">
      <c r="B81" s="129">
        <f>IF($F81&lt;&gt;"",'CHUNG TU'!A72,"")</f>
      </c>
      <c r="C81" s="129">
        <f>IF($F81&lt;&gt;"",'CHUNG TU'!B72,"")</f>
      </c>
      <c r="D81" s="129">
        <f>IF($F81&lt;&gt;"",'CHUNG TU'!F72,"")</f>
      </c>
      <c r="E81" s="129">
        <f>IF($F81&lt;&gt;"",'CHUNG TU'!H72,"")</f>
      </c>
      <c r="F81" s="130">
        <f>IF($F$7='CHUNG TU'!I72,'CHUNG TU'!J72,IF($F$7='CHUNG TU'!J72,'CHUNG TU'!I72,""))</f>
      </c>
      <c r="G81" s="130">
        <f>IF($F$7='CHUNG TU'!I72,'CHUNG TU'!$L72,0)</f>
        <v>0</v>
      </c>
      <c r="H81" s="130">
        <f>IF($F$7='CHUNG TU'!J72,'CHUNG TU'!$L72,0)</f>
        <v>0</v>
      </c>
      <c r="I81" s="130">
        <f>IF(G81+H81&lt;&gt;0,$I$10+SUM($G$14:G81)-SUM($H$14:H81),0)</f>
        <v>0</v>
      </c>
    </row>
    <row r="82" spans="2:9" ht="14.25">
      <c r="B82" s="129">
        <f>IF($F82&lt;&gt;"",'CHUNG TU'!A73,"")</f>
      </c>
      <c r="C82" s="129">
        <f>IF($F82&lt;&gt;"",'CHUNG TU'!B73,"")</f>
      </c>
      <c r="D82" s="129">
        <f>IF($F82&lt;&gt;"",'CHUNG TU'!F73,"")</f>
      </c>
      <c r="E82" s="129">
        <f>IF($F82&lt;&gt;"",'CHUNG TU'!H73,"")</f>
      </c>
      <c r="F82" s="130">
        <f>IF($F$7='CHUNG TU'!I73,'CHUNG TU'!J73,IF($F$7='CHUNG TU'!J73,'CHUNG TU'!I73,""))</f>
      </c>
      <c r="G82" s="130">
        <f>IF($F$7='CHUNG TU'!I73,'CHUNG TU'!$L73,0)</f>
        <v>0</v>
      </c>
      <c r="H82" s="130">
        <f>IF($F$7='CHUNG TU'!J73,'CHUNG TU'!$L73,0)</f>
        <v>0</v>
      </c>
      <c r="I82" s="130">
        <f>IF(G82+H82&lt;&gt;0,$I$10+SUM($G$14:G82)-SUM($H$14:H82),0)</f>
        <v>0</v>
      </c>
    </row>
    <row r="83" spans="2:9" ht="14.25">
      <c r="B83" s="129">
        <f>IF($F83&lt;&gt;"",'CHUNG TU'!A74,"")</f>
      </c>
      <c r="C83" s="129">
        <f>IF($F83&lt;&gt;"",'CHUNG TU'!B74,"")</f>
      </c>
      <c r="D83" s="129">
        <f>IF($F83&lt;&gt;"",'CHUNG TU'!F74,"")</f>
      </c>
      <c r="E83" s="129">
        <f>IF($F83&lt;&gt;"",'CHUNG TU'!H74,"")</f>
      </c>
      <c r="F83" s="130">
        <f>IF($F$7='CHUNG TU'!I74,'CHUNG TU'!J74,IF($F$7='CHUNG TU'!J74,'CHUNG TU'!I74,""))</f>
      </c>
      <c r="G83" s="130">
        <f>IF($F$7='CHUNG TU'!I74,'CHUNG TU'!$L74,0)</f>
        <v>0</v>
      </c>
      <c r="H83" s="130">
        <f>IF($F$7='CHUNG TU'!J74,'CHUNG TU'!$L74,0)</f>
        <v>0</v>
      </c>
      <c r="I83" s="130">
        <f>IF(G83+H83&lt;&gt;0,$I$10+SUM($G$14:G83)-SUM($H$14:H83),0)</f>
        <v>0</v>
      </c>
    </row>
    <row r="84" spans="2:9" ht="14.25">
      <c r="B84" s="129">
        <f>IF($F84&lt;&gt;"",'CHUNG TU'!A75,"")</f>
      </c>
      <c r="C84" s="129">
        <f>IF($F84&lt;&gt;"",'CHUNG TU'!B75,"")</f>
      </c>
      <c r="D84" s="129">
        <f>IF($F84&lt;&gt;"",'CHUNG TU'!F75,"")</f>
      </c>
      <c r="E84" s="129">
        <f>IF($F84&lt;&gt;"",'CHUNG TU'!H75,"")</f>
      </c>
      <c r="F84" s="130">
        <f>IF($F$7='CHUNG TU'!I75,'CHUNG TU'!J75,IF($F$7='CHUNG TU'!J75,'CHUNG TU'!I75,""))</f>
      </c>
      <c r="G84" s="130">
        <f>IF($F$7='CHUNG TU'!I75,'CHUNG TU'!$L75,0)</f>
        <v>0</v>
      </c>
      <c r="H84" s="130">
        <f>IF($F$7='CHUNG TU'!J75,'CHUNG TU'!$L75,0)</f>
        <v>0</v>
      </c>
      <c r="I84" s="130">
        <f>IF(G84+H84&lt;&gt;0,$I$10+SUM($G$14:G84)-SUM($H$14:H84),0)</f>
        <v>0</v>
      </c>
    </row>
    <row r="85" spans="2:9" ht="14.25">
      <c r="B85" s="129">
        <f>IF($F85&lt;&gt;"",'CHUNG TU'!A76,"")</f>
      </c>
      <c r="C85" s="129">
        <f>IF($F85&lt;&gt;"",'CHUNG TU'!B76,"")</f>
      </c>
      <c r="D85" s="129">
        <f>IF($F85&lt;&gt;"",'CHUNG TU'!F76,"")</f>
      </c>
      <c r="E85" s="129">
        <f>IF($F85&lt;&gt;"",'CHUNG TU'!H76,"")</f>
      </c>
      <c r="F85" s="130">
        <f>IF($F$7='CHUNG TU'!I76,'CHUNG TU'!J76,IF($F$7='CHUNG TU'!J76,'CHUNG TU'!I76,""))</f>
      </c>
      <c r="G85" s="130">
        <f>IF($F$7='CHUNG TU'!I76,'CHUNG TU'!$L76,0)</f>
        <v>0</v>
      </c>
      <c r="H85" s="130">
        <f>IF($F$7='CHUNG TU'!J76,'CHUNG TU'!$L76,0)</f>
        <v>0</v>
      </c>
      <c r="I85" s="130">
        <f>IF(G85+H85&lt;&gt;0,$I$10+SUM($G$14:G85)-SUM($H$14:H85),0)</f>
        <v>0</v>
      </c>
    </row>
    <row r="86" spans="2:9" ht="14.25">
      <c r="B86" s="129">
        <f>IF($F86&lt;&gt;"",'CHUNG TU'!A77,"")</f>
      </c>
      <c r="C86" s="129">
        <f>IF($F86&lt;&gt;"",'CHUNG TU'!B77,"")</f>
      </c>
      <c r="D86" s="129">
        <f>IF($F86&lt;&gt;"",'CHUNG TU'!F77,"")</f>
      </c>
      <c r="E86" s="129">
        <f>IF($F86&lt;&gt;"",'CHUNG TU'!H77,"")</f>
      </c>
      <c r="F86" s="130">
        <f>IF($F$7='CHUNG TU'!I77,'CHUNG TU'!J77,IF($F$7='CHUNG TU'!J77,'CHUNG TU'!I77,""))</f>
      </c>
      <c r="G86" s="130">
        <f>IF($F$7='CHUNG TU'!I77,'CHUNG TU'!$L77,0)</f>
        <v>0</v>
      </c>
      <c r="H86" s="130">
        <f>IF($F$7='CHUNG TU'!J77,'CHUNG TU'!$L77,0)</f>
        <v>0</v>
      </c>
      <c r="I86" s="130">
        <f>IF(G86+H86&lt;&gt;0,$I$10+SUM($G$14:G86)-SUM($H$14:H86),0)</f>
        <v>0</v>
      </c>
    </row>
    <row r="87" spans="2:9" ht="14.25">
      <c r="B87" s="129">
        <f>IF($F87&lt;&gt;"",'CHUNG TU'!A78,"")</f>
      </c>
      <c r="C87" s="129">
        <f>IF($F87&lt;&gt;"",'CHUNG TU'!B78,"")</f>
      </c>
      <c r="D87" s="129">
        <f>IF($F87&lt;&gt;"",'CHUNG TU'!F78,"")</f>
      </c>
      <c r="E87" s="129">
        <f>IF($F87&lt;&gt;"",'CHUNG TU'!H78,"")</f>
      </c>
      <c r="F87" s="130">
        <f>IF($F$7='CHUNG TU'!I78,'CHUNG TU'!J78,IF($F$7='CHUNG TU'!J78,'CHUNG TU'!I78,""))</f>
      </c>
      <c r="G87" s="130">
        <f>IF($F$7='CHUNG TU'!I78,'CHUNG TU'!$L78,0)</f>
        <v>0</v>
      </c>
      <c r="H87" s="130">
        <f>IF($F$7='CHUNG TU'!J78,'CHUNG TU'!$L78,0)</f>
        <v>0</v>
      </c>
      <c r="I87" s="130">
        <f>IF(G87+H87&lt;&gt;0,$I$10+SUM($G$14:G87)-SUM($H$14:H87),0)</f>
        <v>0</v>
      </c>
    </row>
    <row r="88" spans="2:9" ht="14.25">
      <c r="B88" s="129">
        <f>IF($F88&lt;&gt;"",'CHUNG TU'!A79,"")</f>
      </c>
      <c r="C88" s="129">
        <f>IF($F88&lt;&gt;"",'CHUNG TU'!B79,"")</f>
      </c>
      <c r="D88" s="129">
        <f>IF($F88&lt;&gt;"",'CHUNG TU'!F79,"")</f>
      </c>
      <c r="E88" s="129">
        <f>IF($F88&lt;&gt;"",'CHUNG TU'!H79,"")</f>
      </c>
      <c r="F88" s="130">
        <f>IF($F$7='CHUNG TU'!I79,'CHUNG TU'!J79,IF($F$7='CHUNG TU'!J79,'CHUNG TU'!I79,""))</f>
      </c>
      <c r="G88" s="130">
        <f>IF($F$7='CHUNG TU'!I79,'CHUNG TU'!$L79,0)</f>
        <v>0</v>
      </c>
      <c r="H88" s="130">
        <f>IF($F$7='CHUNG TU'!J79,'CHUNG TU'!$L79,0)</f>
        <v>0</v>
      </c>
      <c r="I88" s="130">
        <f>IF(G88+H88&lt;&gt;0,$I$10+SUM($G$14:G88)-SUM($H$14:H88),0)</f>
        <v>0</v>
      </c>
    </row>
    <row r="89" spans="2:9" ht="14.25">
      <c r="B89" s="129">
        <f>IF($F89&lt;&gt;"",'CHUNG TU'!A80,"")</f>
      </c>
      <c r="C89" s="129">
        <f>IF($F89&lt;&gt;"",'CHUNG TU'!B80,"")</f>
      </c>
      <c r="D89" s="129">
        <f>IF($F89&lt;&gt;"",'CHUNG TU'!F80,"")</f>
      </c>
      <c r="E89" s="129">
        <f>IF($F89&lt;&gt;"",'CHUNG TU'!H80,"")</f>
      </c>
      <c r="F89" s="130">
        <f>IF($F$7='CHUNG TU'!I80,'CHUNG TU'!J80,IF($F$7='CHUNG TU'!J80,'CHUNG TU'!I80,""))</f>
      </c>
      <c r="G89" s="130">
        <f>IF($F$7='CHUNG TU'!I80,'CHUNG TU'!$L80,0)</f>
        <v>0</v>
      </c>
      <c r="H89" s="130">
        <f>IF($F$7='CHUNG TU'!J80,'CHUNG TU'!$L80,0)</f>
        <v>0</v>
      </c>
      <c r="I89" s="130">
        <f>IF(G89+H89&lt;&gt;0,$I$10+SUM($G$14:G89)-SUM($H$14:H89),0)</f>
        <v>0</v>
      </c>
    </row>
    <row r="90" spans="2:9" ht="14.25">
      <c r="B90" s="129">
        <f>IF($F90&lt;&gt;"",'CHUNG TU'!A81,"")</f>
      </c>
      <c r="C90" s="129">
        <f>IF($F90&lt;&gt;"",'CHUNG TU'!B81,"")</f>
      </c>
      <c r="D90" s="129">
        <f>IF($F90&lt;&gt;"",'CHUNG TU'!F81,"")</f>
      </c>
      <c r="E90" s="129">
        <f>IF($F90&lt;&gt;"",'CHUNG TU'!H81,"")</f>
      </c>
      <c r="F90" s="130">
        <f>IF($F$7='CHUNG TU'!I81,'CHUNG TU'!J81,IF($F$7='CHUNG TU'!J81,'CHUNG TU'!I81,""))</f>
      </c>
      <c r="G90" s="130">
        <f>IF($F$7='CHUNG TU'!I81,'CHUNG TU'!$L81,0)</f>
        <v>0</v>
      </c>
      <c r="H90" s="130">
        <f>IF($F$7='CHUNG TU'!J81,'CHUNG TU'!$L81,0)</f>
        <v>0</v>
      </c>
      <c r="I90" s="130">
        <f>IF(G90+H90&lt;&gt;0,$I$10+SUM($G$14:G90)-SUM($H$14:H90),0)</f>
        <v>0</v>
      </c>
    </row>
    <row r="91" spans="2:9" ht="14.25">
      <c r="B91" s="129">
        <f>IF($F91&lt;&gt;"",'CHUNG TU'!A82,"")</f>
      </c>
      <c r="C91" s="129">
        <f>IF($F91&lt;&gt;"",'CHUNG TU'!B82,"")</f>
      </c>
      <c r="D91" s="129">
        <f>IF($F91&lt;&gt;"",'CHUNG TU'!F82,"")</f>
      </c>
      <c r="E91" s="129">
        <f>IF($F91&lt;&gt;"",'CHUNG TU'!H82,"")</f>
      </c>
      <c r="F91" s="130">
        <f>IF($F$7='CHUNG TU'!I82,'CHUNG TU'!J82,IF($F$7='CHUNG TU'!J82,'CHUNG TU'!I82,""))</f>
      </c>
      <c r="G91" s="130">
        <f>IF($F$7='CHUNG TU'!I82,'CHUNG TU'!$L82,0)</f>
        <v>0</v>
      </c>
      <c r="H91" s="130">
        <f>IF($F$7='CHUNG TU'!J82,'CHUNG TU'!$L82,0)</f>
        <v>0</v>
      </c>
      <c r="I91" s="130">
        <f>IF(G91+H91&lt;&gt;0,$I$10+SUM($G$14:G91)-SUM($H$14:H91),0)</f>
        <v>0</v>
      </c>
    </row>
    <row r="92" spans="2:9" ht="14.25">
      <c r="B92" s="129">
        <f>IF($F92&lt;&gt;"",'CHUNG TU'!A83,"")</f>
      </c>
      <c r="C92" s="129">
        <f>IF($F92&lt;&gt;"",'CHUNG TU'!B83,"")</f>
      </c>
      <c r="D92" s="129">
        <f>IF($F92&lt;&gt;"",'CHUNG TU'!F83,"")</f>
      </c>
      <c r="E92" s="129">
        <f>IF($F92&lt;&gt;"",'CHUNG TU'!H83,"")</f>
      </c>
      <c r="F92" s="130">
        <f>IF($F$7='CHUNG TU'!I83,'CHUNG TU'!J83,IF($F$7='CHUNG TU'!J83,'CHUNG TU'!I83,""))</f>
      </c>
      <c r="G92" s="130">
        <f>IF($F$7='CHUNG TU'!I83,'CHUNG TU'!$L83,0)</f>
        <v>0</v>
      </c>
      <c r="H92" s="130">
        <f>IF($F$7='CHUNG TU'!J83,'CHUNG TU'!$L83,0)</f>
        <v>0</v>
      </c>
      <c r="I92" s="130">
        <f>IF(G92+H92&lt;&gt;0,$I$10+SUM($G$14:G92)-SUM($H$14:H92),0)</f>
        <v>0</v>
      </c>
    </row>
    <row r="93" spans="2:9" ht="14.25">
      <c r="B93" s="129">
        <f>IF($F93&lt;&gt;"",'CHUNG TU'!A84,"")</f>
      </c>
      <c r="C93" s="129">
        <f>IF($F93&lt;&gt;"",'CHUNG TU'!B84,"")</f>
      </c>
      <c r="D93" s="129">
        <f>IF($F93&lt;&gt;"",'CHUNG TU'!F84,"")</f>
      </c>
      <c r="E93" s="129">
        <f>IF($F93&lt;&gt;"",'CHUNG TU'!H84,"")</f>
      </c>
      <c r="F93" s="130">
        <f>IF($F$7='CHUNG TU'!I84,'CHUNG TU'!J84,IF($F$7='CHUNG TU'!J84,'CHUNG TU'!I84,""))</f>
      </c>
      <c r="G93" s="130">
        <f>IF($F$7='CHUNG TU'!I84,'CHUNG TU'!$L84,0)</f>
        <v>0</v>
      </c>
      <c r="H93" s="130">
        <f>IF($F$7='CHUNG TU'!J84,'CHUNG TU'!$L84,0)</f>
        <v>0</v>
      </c>
      <c r="I93" s="130">
        <f>IF(G93+H93&lt;&gt;0,$I$10+SUM($G$14:G93)-SUM($H$14:H93),0)</f>
        <v>0</v>
      </c>
    </row>
    <row r="94" spans="2:9" ht="14.25">
      <c r="B94" s="129">
        <f>IF($F94&lt;&gt;"",'CHUNG TU'!A85,"")</f>
      </c>
      <c r="C94" s="129">
        <f>IF($F94&lt;&gt;"",'CHUNG TU'!B85,"")</f>
      </c>
      <c r="D94" s="129">
        <f>IF($F94&lt;&gt;"",'CHUNG TU'!F85,"")</f>
      </c>
      <c r="E94" s="129">
        <f>IF($F94&lt;&gt;"",'CHUNG TU'!H85,"")</f>
      </c>
      <c r="F94" s="130">
        <f>IF($F$7='CHUNG TU'!I85,'CHUNG TU'!J85,IF($F$7='CHUNG TU'!J85,'CHUNG TU'!I85,""))</f>
      </c>
      <c r="G94" s="130">
        <f>IF($F$7='CHUNG TU'!I85,'CHUNG TU'!$L85,0)</f>
        <v>0</v>
      </c>
      <c r="H94" s="130">
        <f>IF($F$7='CHUNG TU'!J85,'CHUNG TU'!$L85,0)</f>
        <v>0</v>
      </c>
      <c r="I94" s="130">
        <f>IF(G94+H94&lt;&gt;0,$I$10+SUM($G$14:G94)-SUM($H$14:H94),0)</f>
        <v>0</v>
      </c>
    </row>
    <row r="95" spans="2:9" ht="14.25">
      <c r="B95" s="129">
        <f>IF($F95&lt;&gt;"",'CHUNG TU'!A86,"")</f>
      </c>
      <c r="C95" s="129">
        <f>IF($F95&lt;&gt;"",'CHUNG TU'!B86,"")</f>
      </c>
      <c r="D95" s="129">
        <f>IF($F95&lt;&gt;"",'CHUNG TU'!F86,"")</f>
      </c>
      <c r="E95" s="129">
        <f>IF($F95&lt;&gt;"",'CHUNG TU'!H86,"")</f>
      </c>
      <c r="F95" s="130">
        <f>IF($F$7='CHUNG TU'!I86,'CHUNG TU'!J86,IF($F$7='CHUNG TU'!J86,'CHUNG TU'!I86,""))</f>
      </c>
      <c r="G95" s="130">
        <f>IF($F$7='CHUNG TU'!I86,'CHUNG TU'!$L86,0)</f>
        <v>0</v>
      </c>
      <c r="H95" s="130">
        <f>IF($F$7='CHUNG TU'!J86,'CHUNG TU'!$L86,0)</f>
        <v>0</v>
      </c>
      <c r="I95" s="130">
        <f>IF(G95+H95&lt;&gt;0,$I$10+SUM($G$14:G95)-SUM($H$14:H95),0)</f>
        <v>0</v>
      </c>
    </row>
    <row r="96" spans="2:9" ht="14.25">
      <c r="B96" s="129">
        <f>IF($F96&lt;&gt;"",'CHUNG TU'!A87,"")</f>
      </c>
      <c r="C96" s="129">
        <f>IF($F96&lt;&gt;"",'CHUNG TU'!B87,"")</f>
      </c>
      <c r="D96" s="129">
        <f>IF($F96&lt;&gt;"",'CHUNG TU'!F87,"")</f>
      </c>
      <c r="E96" s="129">
        <f>IF($F96&lt;&gt;"",'CHUNG TU'!H87,"")</f>
      </c>
      <c r="F96" s="130">
        <f>IF($F$7='CHUNG TU'!I87,'CHUNG TU'!J87,IF($F$7='CHUNG TU'!J87,'CHUNG TU'!I87,""))</f>
      </c>
      <c r="G96" s="130">
        <f>IF($F$7='CHUNG TU'!I87,'CHUNG TU'!$L87,0)</f>
        <v>0</v>
      </c>
      <c r="H96" s="130">
        <f>IF($F$7='CHUNG TU'!J87,'CHUNG TU'!$L87,0)</f>
        <v>0</v>
      </c>
      <c r="I96" s="130">
        <f>IF(G96+H96&lt;&gt;0,$I$10+SUM($G$14:G96)-SUM($H$14:H96),0)</f>
        <v>0</v>
      </c>
    </row>
    <row r="97" spans="2:9" ht="14.25">
      <c r="B97" s="129">
        <f>IF($F97&lt;&gt;"",'CHUNG TU'!A88,"")</f>
      </c>
      <c r="C97" s="129">
        <f>IF($F97&lt;&gt;"",'CHUNG TU'!B88,"")</f>
      </c>
      <c r="D97" s="129">
        <f>IF($F97&lt;&gt;"",'CHUNG TU'!F88,"")</f>
      </c>
      <c r="E97" s="129">
        <f>IF($F97&lt;&gt;"",'CHUNG TU'!H88,"")</f>
      </c>
      <c r="F97" s="130">
        <f>IF($F$7='CHUNG TU'!I88,'CHUNG TU'!J88,IF($F$7='CHUNG TU'!J88,'CHUNG TU'!I88,""))</f>
      </c>
      <c r="G97" s="130">
        <f>IF($F$7='CHUNG TU'!I88,'CHUNG TU'!$L88,0)</f>
        <v>0</v>
      </c>
      <c r="H97" s="130">
        <f>IF($F$7='CHUNG TU'!J88,'CHUNG TU'!$L88,0)</f>
        <v>0</v>
      </c>
      <c r="I97" s="130">
        <f>IF(G97+H97&lt;&gt;0,$I$10+SUM($G$14:G97)-SUM($H$14:H97),0)</f>
        <v>0</v>
      </c>
    </row>
    <row r="98" spans="2:9" ht="14.25">
      <c r="B98" s="129">
        <f>IF($F98&lt;&gt;"",'CHUNG TU'!A89,"")</f>
      </c>
      <c r="C98" s="129">
        <f>IF($F98&lt;&gt;"",'CHUNG TU'!B89,"")</f>
      </c>
      <c r="D98" s="129">
        <f>IF($F98&lt;&gt;"",'CHUNG TU'!F89,"")</f>
      </c>
      <c r="E98" s="129">
        <f>IF($F98&lt;&gt;"",'CHUNG TU'!H89,"")</f>
      </c>
      <c r="F98" s="130">
        <f>IF($F$7='CHUNG TU'!I89,'CHUNG TU'!J89,IF($F$7='CHUNG TU'!J89,'CHUNG TU'!I89,""))</f>
      </c>
      <c r="G98" s="130">
        <f>IF($F$7='CHUNG TU'!I89,'CHUNG TU'!$L89,0)</f>
        <v>0</v>
      </c>
      <c r="H98" s="130">
        <f>IF($F$7='CHUNG TU'!J89,'CHUNG TU'!$L89,0)</f>
        <v>0</v>
      </c>
      <c r="I98" s="130">
        <f>IF(G98+H98&lt;&gt;0,$I$10+SUM($G$14:G98)-SUM($H$14:H98),0)</f>
        <v>0</v>
      </c>
    </row>
    <row r="99" spans="2:9" ht="14.25">
      <c r="B99" s="129">
        <f>IF($F99&lt;&gt;"",'CHUNG TU'!A90,"")</f>
      </c>
      <c r="C99" s="129">
        <f>IF($F99&lt;&gt;"",'CHUNG TU'!B90,"")</f>
      </c>
      <c r="D99" s="129">
        <f>IF($F99&lt;&gt;"",'CHUNG TU'!F90,"")</f>
      </c>
      <c r="E99" s="129">
        <f>IF($F99&lt;&gt;"",'CHUNG TU'!H90,"")</f>
      </c>
      <c r="F99" s="130">
        <f>IF($F$7='CHUNG TU'!I90,'CHUNG TU'!J90,IF($F$7='CHUNG TU'!J90,'CHUNG TU'!I90,""))</f>
      </c>
      <c r="G99" s="130">
        <f>IF($F$7='CHUNG TU'!I90,'CHUNG TU'!$L90,0)</f>
        <v>0</v>
      </c>
      <c r="H99" s="130">
        <f>IF($F$7='CHUNG TU'!J90,'CHUNG TU'!$L90,0)</f>
        <v>0</v>
      </c>
      <c r="I99" s="130">
        <f>IF(G99+H99&lt;&gt;0,$I$10+SUM($G$14:G99)-SUM($H$14:H99),0)</f>
        <v>0</v>
      </c>
    </row>
    <row r="100" spans="2:9" ht="14.25">
      <c r="B100" s="129">
        <f>IF($F100&lt;&gt;"",'CHUNG TU'!A91,"")</f>
      </c>
      <c r="C100" s="129">
        <f>IF($F100&lt;&gt;"",'CHUNG TU'!B91,"")</f>
      </c>
      <c r="D100" s="129">
        <f>IF($F100&lt;&gt;"",'CHUNG TU'!F91,"")</f>
      </c>
      <c r="E100" s="129">
        <f>IF($F100&lt;&gt;"",'CHUNG TU'!H91,"")</f>
      </c>
      <c r="F100" s="130">
        <f>IF($F$7='CHUNG TU'!I91,'CHUNG TU'!J91,IF($F$7='CHUNG TU'!J91,'CHUNG TU'!I91,""))</f>
      </c>
      <c r="G100" s="130">
        <f>IF($F$7='CHUNG TU'!I91,'CHUNG TU'!$L91,0)</f>
        <v>0</v>
      </c>
      <c r="H100" s="130">
        <f>IF($F$7='CHUNG TU'!J91,'CHUNG TU'!$L91,0)</f>
        <v>0</v>
      </c>
      <c r="I100" s="130">
        <f>IF(G100+H100&lt;&gt;0,$I$10+SUM($G$14:G100)-SUM($H$14:H100),0)</f>
        <v>0</v>
      </c>
    </row>
    <row r="101" spans="2:9" ht="14.25">
      <c r="B101" s="129">
        <f>IF($F101&lt;&gt;"",'CHUNG TU'!A92,"")</f>
      </c>
      <c r="C101" s="129">
        <f>IF($F101&lt;&gt;"",'CHUNG TU'!B92,"")</f>
      </c>
      <c r="D101" s="129">
        <f>IF($F101&lt;&gt;"",'CHUNG TU'!F92,"")</f>
      </c>
      <c r="E101" s="129">
        <f>IF($F101&lt;&gt;"",'CHUNG TU'!H92,"")</f>
      </c>
      <c r="F101" s="130">
        <f>IF($F$7='CHUNG TU'!I92,'CHUNG TU'!J92,IF($F$7='CHUNG TU'!J92,'CHUNG TU'!I92,""))</f>
      </c>
      <c r="G101" s="130">
        <f>IF($F$7='CHUNG TU'!I92,'CHUNG TU'!$L92,0)</f>
        <v>0</v>
      </c>
      <c r="H101" s="130">
        <f>IF($F$7='CHUNG TU'!J92,'CHUNG TU'!$L92,0)</f>
        <v>0</v>
      </c>
      <c r="I101" s="130">
        <f>IF(G101+H101&lt;&gt;0,$I$10+SUM($G$14:G101)-SUM($H$14:H101),0)</f>
        <v>0</v>
      </c>
    </row>
    <row r="102" spans="2:9" ht="14.25">
      <c r="B102" s="129">
        <f>IF($F102&lt;&gt;"",'CHUNG TU'!A93,"")</f>
      </c>
      <c r="C102" s="129">
        <f>IF($F102&lt;&gt;"",'CHUNG TU'!B93,"")</f>
      </c>
      <c r="D102" s="129">
        <f>IF($F102&lt;&gt;"",'CHUNG TU'!F93,"")</f>
      </c>
      <c r="E102" s="129">
        <f>IF($F102&lt;&gt;"",'CHUNG TU'!H93,"")</f>
      </c>
      <c r="F102" s="130">
        <f>IF($F$7='CHUNG TU'!I93,'CHUNG TU'!J93,IF($F$7='CHUNG TU'!J93,'CHUNG TU'!I93,""))</f>
      </c>
      <c r="G102" s="130">
        <f>IF($F$7='CHUNG TU'!I93,'CHUNG TU'!$L93,0)</f>
        <v>0</v>
      </c>
      <c r="H102" s="130">
        <f>IF($F$7='CHUNG TU'!J93,'CHUNG TU'!$L93,0)</f>
        <v>0</v>
      </c>
      <c r="I102" s="130">
        <f>IF(G102+H102&lt;&gt;0,$I$10+SUM($G$14:G102)-SUM($H$14:H102),0)</f>
        <v>0</v>
      </c>
    </row>
    <row r="103" spans="2:9" ht="14.25">
      <c r="B103" s="129">
        <f>IF($F103&lt;&gt;"",'CHUNG TU'!A94,"")</f>
      </c>
      <c r="C103" s="129">
        <f>IF($F103&lt;&gt;"",'CHUNG TU'!B94,"")</f>
      </c>
      <c r="D103" s="129">
        <f>IF($F103&lt;&gt;"",'CHUNG TU'!F94,"")</f>
      </c>
      <c r="E103" s="129">
        <f>IF($F103&lt;&gt;"",'CHUNG TU'!H94,"")</f>
      </c>
      <c r="F103" s="130">
        <f>IF($F$7='CHUNG TU'!I94,'CHUNG TU'!J94,IF($F$7='CHUNG TU'!J94,'CHUNG TU'!I94,""))</f>
      </c>
      <c r="G103" s="130">
        <f>IF($F$7='CHUNG TU'!I94,'CHUNG TU'!$L94,0)</f>
        <v>0</v>
      </c>
      <c r="H103" s="130">
        <f>IF($F$7='CHUNG TU'!J94,'CHUNG TU'!$L94,0)</f>
        <v>0</v>
      </c>
      <c r="I103" s="130">
        <f>IF(G103+H103&lt;&gt;0,$I$10+SUM($G$14:G103)-SUM($H$14:H103),0)</f>
        <v>0</v>
      </c>
    </row>
    <row r="104" spans="2:9" ht="14.25">
      <c r="B104" s="129">
        <f>IF($F104&lt;&gt;"",'CHUNG TU'!A95,"")</f>
      </c>
      <c r="C104" s="129">
        <f>IF($F104&lt;&gt;"",'CHUNG TU'!B95,"")</f>
      </c>
      <c r="D104" s="129">
        <f>IF($F104&lt;&gt;"",'CHUNG TU'!F95,"")</f>
      </c>
      <c r="E104" s="129">
        <f>IF($F104&lt;&gt;"",'CHUNG TU'!H95,"")</f>
      </c>
      <c r="F104" s="130">
        <f>IF($F$7='CHUNG TU'!I95,'CHUNG TU'!J95,IF($F$7='CHUNG TU'!J95,'CHUNG TU'!I95,""))</f>
      </c>
      <c r="G104" s="130">
        <f>IF($F$7='CHUNG TU'!I95,'CHUNG TU'!$L95,0)</f>
        <v>0</v>
      </c>
      <c r="H104" s="130">
        <f>IF($F$7='CHUNG TU'!J95,'CHUNG TU'!$L95,0)</f>
        <v>0</v>
      </c>
      <c r="I104" s="130">
        <f>IF(G104+H104&lt;&gt;0,$I$10+SUM($G$14:G104)-SUM($H$14:H104),0)</f>
        <v>0</v>
      </c>
    </row>
    <row r="105" spans="2:9" ht="14.25">
      <c r="B105" s="129">
        <f>IF($F105&lt;&gt;"",'CHUNG TU'!A96,"")</f>
      </c>
      <c r="C105" s="129">
        <f>IF($F105&lt;&gt;"",'CHUNG TU'!B96,"")</f>
      </c>
      <c r="D105" s="129">
        <f>IF($F105&lt;&gt;"",'CHUNG TU'!F96,"")</f>
      </c>
      <c r="E105" s="129">
        <f>IF($F105&lt;&gt;"",'CHUNG TU'!H96,"")</f>
      </c>
      <c r="F105" s="130">
        <f>IF($F$7='CHUNG TU'!I96,'CHUNG TU'!J96,IF($F$7='CHUNG TU'!J96,'CHUNG TU'!I96,""))</f>
      </c>
      <c r="G105" s="130">
        <f>IF($F$7='CHUNG TU'!I96,'CHUNG TU'!$L96,0)</f>
        <v>0</v>
      </c>
      <c r="H105" s="130">
        <f>IF($F$7='CHUNG TU'!J96,'CHUNG TU'!$L96,0)</f>
        <v>0</v>
      </c>
      <c r="I105" s="130">
        <f>IF(G105+H105&lt;&gt;0,$I$10+SUM($G$14:G105)-SUM($H$14:H105),0)</f>
        <v>0</v>
      </c>
    </row>
    <row r="106" spans="2:9" ht="14.25">
      <c r="B106" s="129">
        <f>IF($F106&lt;&gt;"",'CHUNG TU'!A97,"")</f>
      </c>
      <c r="C106" s="129">
        <f>IF($F106&lt;&gt;"",'CHUNG TU'!B97,"")</f>
      </c>
      <c r="D106" s="129">
        <f>IF($F106&lt;&gt;"",'CHUNG TU'!F97,"")</f>
      </c>
      <c r="E106" s="129">
        <f>IF($F106&lt;&gt;"",'CHUNG TU'!H97,"")</f>
      </c>
      <c r="F106" s="130">
        <f>IF($F$7='CHUNG TU'!I97,'CHUNG TU'!J97,IF($F$7='CHUNG TU'!J97,'CHUNG TU'!I97,""))</f>
      </c>
      <c r="G106" s="130">
        <f>IF($F$7='CHUNG TU'!I97,'CHUNG TU'!$L97,0)</f>
        <v>0</v>
      </c>
      <c r="H106" s="130">
        <f>IF($F$7='CHUNG TU'!J97,'CHUNG TU'!$L97,0)</f>
        <v>0</v>
      </c>
      <c r="I106" s="130">
        <f>IF(G106+H106&lt;&gt;0,$I$10+SUM($G$14:G106)-SUM($H$14:H106),0)</f>
        <v>0</v>
      </c>
    </row>
    <row r="107" spans="2:9" ht="14.25">
      <c r="B107" s="129">
        <f>IF($F107&lt;&gt;"",'CHUNG TU'!A98,"")</f>
      </c>
      <c r="C107" s="129">
        <f>IF($F107&lt;&gt;"",'CHUNG TU'!B98,"")</f>
      </c>
      <c r="D107" s="129">
        <f>IF($F107&lt;&gt;"",'CHUNG TU'!F98,"")</f>
      </c>
      <c r="E107" s="129">
        <f>IF($F107&lt;&gt;"",'CHUNG TU'!H98,"")</f>
      </c>
      <c r="F107" s="130">
        <f>IF($F$7='CHUNG TU'!I98,'CHUNG TU'!J98,IF($F$7='CHUNG TU'!J98,'CHUNG TU'!I98,""))</f>
      </c>
      <c r="G107" s="130">
        <f>IF($F$7='CHUNG TU'!I98,'CHUNG TU'!$L98,0)</f>
        <v>0</v>
      </c>
      <c r="H107" s="130">
        <f>IF($F$7='CHUNG TU'!J98,'CHUNG TU'!$L98,0)</f>
        <v>0</v>
      </c>
      <c r="I107" s="130">
        <f>IF(G107+H107&lt;&gt;0,$I$10+SUM($G$14:G107)-SUM($H$14:H107),0)</f>
        <v>0</v>
      </c>
    </row>
    <row r="108" spans="2:9" ht="14.25">
      <c r="B108" s="129">
        <f>IF($F108&lt;&gt;"",'CHUNG TU'!A99,"")</f>
      </c>
      <c r="C108" s="129">
        <f>IF($F108&lt;&gt;"",'CHUNG TU'!B99,"")</f>
      </c>
      <c r="D108" s="129">
        <f>IF($F108&lt;&gt;"",'CHUNG TU'!F99,"")</f>
      </c>
      <c r="E108" s="129">
        <f>IF($F108&lt;&gt;"",'CHUNG TU'!H99,"")</f>
      </c>
      <c r="F108" s="130">
        <f>IF($F$7='CHUNG TU'!I99,'CHUNG TU'!J99,IF($F$7='CHUNG TU'!J99,'CHUNG TU'!I99,""))</f>
      </c>
      <c r="G108" s="130">
        <f>IF($F$7='CHUNG TU'!I99,'CHUNG TU'!$L99,0)</f>
        <v>0</v>
      </c>
      <c r="H108" s="130">
        <f>IF($F$7='CHUNG TU'!J99,'CHUNG TU'!$L99,0)</f>
        <v>0</v>
      </c>
      <c r="I108" s="130">
        <f>IF(G108+H108&lt;&gt;0,$I$10+SUM($G$14:G108)-SUM($H$14:H108),0)</f>
        <v>0</v>
      </c>
    </row>
    <row r="109" spans="2:9" ht="14.25">
      <c r="B109" s="129">
        <f>IF($F109&lt;&gt;"",'CHUNG TU'!A100,"")</f>
      </c>
      <c r="C109" s="129">
        <f>IF($F109&lt;&gt;"",'CHUNG TU'!B100,"")</f>
      </c>
      <c r="D109" s="129">
        <f>IF($F109&lt;&gt;"",'CHUNG TU'!F100,"")</f>
      </c>
      <c r="E109" s="129">
        <f>IF($F109&lt;&gt;"",'CHUNG TU'!H100,"")</f>
      </c>
      <c r="F109" s="130">
        <f>IF($F$7='CHUNG TU'!I100,'CHUNG TU'!J100,IF($F$7='CHUNG TU'!J100,'CHUNG TU'!I100,""))</f>
      </c>
      <c r="G109" s="130">
        <f>IF($F$7='CHUNG TU'!I100,'CHUNG TU'!$L100,0)</f>
        <v>0</v>
      </c>
      <c r="H109" s="130">
        <f>IF($F$7='CHUNG TU'!J100,'CHUNG TU'!$L100,0)</f>
        <v>0</v>
      </c>
      <c r="I109" s="130">
        <f>IF(G109+H109&lt;&gt;0,$I$10+SUM($G$14:G109)-SUM($H$14:H109),0)</f>
        <v>0</v>
      </c>
    </row>
    <row r="110" spans="2:9" ht="14.25">
      <c r="B110" s="129">
        <f>IF($F110&lt;&gt;"",'CHUNG TU'!A101,"")</f>
      </c>
      <c r="C110" s="129">
        <f>IF($F110&lt;&gt;"",'CHUNG TU'!B101,"")</f>
      </c>
      <c r="D110" s="129">
        <f>IF($F110&lt;&gt;"",'CHUNG TU'!F101,"")</f>
      </c>
      <c r="E110" s="129">
        <f>IF($F110&lt;&gt;"",'CHUNG TU'!H101,"")</f>
      </c>
      <c r="F110" s="130">
        <f>IF($F$7='CHUNG TU'!I101,'CHUNG TU'!J101,IF($F$7='CHUNG TU'!J101,'CHUNG TU'!I101,""))</f>
      </c>
      <c r="G110" s="130">
        <f>IF($F$7='CHUNG TU'!I101,'CHUNG TU'!$L101,0)</f>
        <v>0</v>
      </c>
      <c r="H110" s="130">
        <f>IF($F$7='CHUNG TU'!J101,'CHUNG TU'!$L101,0)</f>
        <v>0</v>
      </c>
      <c r="I110" s="130">
        <f>IF(G110+H110&lt;&gt;0,$I$10+SUM($G$14:G110)-SUM($H$14:H110),0)</f>
        <v>0</v>
      </c>
    </row>
    <row r="111" spans="2:9" ht="14.25">
      <c r="B111" s="129">
        <f>IF($F111&lt;&gt;"",'CHUNG TU'!A102,"")</f>
      </c>
      <c r="C111" s="129">
        <f>IF($F111&lt;&gt;"",'CHUNG TU'!B102,"")</f>
      </c>
      <c r="D111" s="129">
        <f>IF($F111&lt;&gt;"",'CHUNG TU'!F102,"")</f>
      </c>
      <c r="E111" s="129">
        <f>IF($F111&lt;&gt;"",'CHUNG TU'!H102,"")</f>
      </c>
      <c r="F111" s="130">
        <f>IF($F$7='CHUNG TU'!I102,'CHUNG TU'!J102,IF($F$7='CHUNG TU'!J102,'CHUNG TU'!I102,""))</f>
      </c>
      <c r="G111" s="130">
        <f>IF($F$7='CHUNG TU'!I102,'CHUNG TU'!$L102,0)</f>
        <v>0</v>
      </c>
      <c r="H111" s="130">
        <f>IF($F$7='CHUNG TU'!J102,'CHUNG TU'!$L102,0)</f>
        <v>0</v>
      </c>
      <c r="I111" s="130">
        <f>IF(G111+H111&lt;&gt;0,$I$10+SUM($G$14:G111)-SUM($H$14:H111),0)</f>
        <v>0</v>
      </c>
    </row>
    <row r="112" spans="2:9" ht="14.25">
      <c r="B112" s="129">
        <f>IF($F112&lt;&gt;"",'CHUNG TU'!A103,"")</f>
      </c>
      <c r="C112" s="129">
        <f>IF($F112&lt;&gt;"",'CHUNG TU'!B103,"")</f>
      </c>
      <c r="D112" s="129">
        <f>IF($F112&lt;&gt;"",'CHUNG TU'!F103,"")</f>
      </c>
      <c r="E112" s="129">
        <f>IF($F112&lt;&gt;"",'CHUNG TU'!H103,"")</f>
      </c>
      <c r="F112" s="130">
        <f>IF($F$7='CHUNG TU'!I103,'CHUNG TU'!J103,IF($F$7='CHUNG TU'!J103,'CHUNG TU'!I103,""))</f>
      </c>
      <c r="G112" s="130">
        <f>IF($F$7='CHUNG TU'!I103,'CHUNG TU'!$L103,0)</f>
        <v>0</v>
      </c>
      <c r="H112" s="130">
        <f>IF($F$7='CHUNG TU'!J103,'CHUNG TU'!$L103,0)</f>
        <v>0</v>
      </c>
      <c r="I112" s="130">
        <f>IF(G112+H112&lt;&gt;0,$I$10+SUM($G$14:G112)-SUM($H$14:H112),0)</f>
        <v>0</v>
      </c>
    </row>
    <row r="113" spans="2:9" ht="14.25">
      <c r="B113" s="129">
        <f>IF($F113&lt;&gt;"",'CHUNG TU'!A104,"")</f>
      </c>
      <c r="C113" s="129">
        <f>IF($F113&lt;&gt;"",'CHUNG TU'!B104,"")</f>
      </c>
      <c r="D113" s="129">
        <f>IF($F113&lt;&gt;"",'CHUNG TU'!F104,"")</f>
      </c>
      <c r="E113" s="129">
        <f>IF($F113&lt;&gt;"",'CHUNG TU'!H104,"")</f>
      </c>
      <c r="F113" s="130">
        <f>IF($F$7='CHUNG TU'!I104,'CHUNG TU'!J104,IF($F$7='CHUNG TU'!J104,'CHUNG TU'!I104,""))</f>
      </c>
      <c r="G113" s="130">
        <f>IF($F$7='CHUNG TU'!I104,'CHUNG TU'!$L104,0)</f>
        <v>0</v>
      </c>
      <c r="H113" s="130">
        <f>IF($F$7='CHUNG TU'!J104,'CHUNG TU'!$L104,0)</f>
        <v>0</v>
      </c>
      <c r="I113" s="130">
        <f>IF(G113+H113&lt;&gt;0,$I$10+SUM($G$14:G113)-SUM($H$14:H113),0)</f>
        <v>0</v>
      </c>
    </row>
    <row r="114" spans="2:9" ht="14.25">
      <c r="B114" s="129">
        <f>IF($F114&lt;&gt;"",'CHUNG TU'!A105,"")</f>
      </c>
      <c r="C114" s="129">
        <f>IF($F114&lt;&gt;"",'CHUNG TU'!B105,"")</f>
      </c>
      <c r="D114" s="129">
        <f>IF($F114&lt;&gt;"",'CHUNG TU'!F105,"")</f>
      </c>
      <c r="E114" s="129">
        <f>IF($F114&lt;&gt;"",'CHUNG TU'!H105,"")</f>
      </c>
      <c r="F114" s="130">
        <f>IF($F$7='CHUNG TU'!I105,'CHUNG TU'!J105,IF($F$7='CHUNG TU'!J105,'CHUNG TU'!I105,""))</f>
      </c>
      <c r="G114" s="130">
        <f>IF($F$7='CHUNG TU'!I105,'CHUNG TU'!$L105,0)</f>
        <v>0</v>
      </c>
      <c r="H114" s="130">
        <f>IF($F$7='CHUNG TU'!J105,'CHUNG TU'!$L105,0)</f>
        <v>0</v>
      </c>
      <c r="I114" s="130">
        <f>IF(G114+H114&lt;&gt;0,$I$10+SUM($G$14:G114)-SUM($H$14:H114),0)</f>
        <v>0</v>
      </c>
    </row>
    <row r="115" spans="2:9" ht="14.25">
      <c r="B115" s="129" t="str">
        <f>IF($F115&lt;&gt;"",'CHUNG TU'!A106,"")</f>
        <v>24/10/2020</v>
      </c>
      <c r="C115" s="129" t="str">
        <f>IF($F115&lt;&gt;"",'CHUNG TU'!B106,"")</f>
        <v>PC10/027</v>
      </c>
      <c r="D115" s="129" t="str">
        <f>IF($F115&lt;&gt;"",'CHUNG TU'!F106,"")</f>
        <v>24/10/2020</v>
      </c>
      <c r="E115" s="129" t="str">
        <f>IF($F115&lt;&gt;"",'CHUNG TU'!H106,"")</f>
        <v>Chi Góp vốn liên doanh bằng TM (ngắn hạn)</v>
      </c>
      <c r="F115" s="130" t="str">
        <f>IF($F$7='CHUNG TU'!I106,'CHUNG TU'!J106,IF($F$7='CHUNG TU'!J106,'CHUNG TU'!I106,""))</f>
        <v>1288</v>
      </c>
      <c r="G115" s="130">
        <f>IF($F$7='CHUNG TU'!I106,'CHUNG TU'!$L106,0)</f>
        <v>0</v>
      </c>
      <c r="H115" s="130">
        <f>IF($F$7='CHUNG TU'!J106,'CHUNG TU'!$L106,0)</f>
        <v>10750000</v>
      </c>
      <c r="I115" s="130">
        <f>IF(G115+H115&lt;&gt;0,$I$10+SUM($G$14:G115)-SUM($H$14:H115),0)</f>
        <v>37634600</v>
      </c>
    </row>
    <row r="116" spans="2:9" ht="14.25">
      <c r="B116" s="129">
        <f>IF($F116&lt;&gt;"",'CHUNG TU'!A107,"")</f>
      </c>
      <c r="C116" s="129">
        <f>IF($F116&lt;&gt;"",'CHUNG TU'!B107,"")</f>
      </c>
      <c r="D116" s="129">
        <f>IF($F116&lt;&gt;"",'CHUNG TU'!F107,"")</f>
      </c>
      <c r="E116" s="129">
        <f>IF($F116&lt;&gt;"",'CHUNG TU'!H107,"")</f>
      </c>
      <c r="F116" s="130">
        <f>IF($F$7='CHUNG TU'!I107,'CHUNG TU'!J107,IF($F$7='CHUNG TU'!J107,'CHUNG TU'!I107,""))</f>
      </c>
      <c r="G116" s="130">
        <f>IF($F$7='CHUNG TU'!I107,'CHUNG TU'!$L107,0)</f>
        <v>0</v>
      </c>
      <c r="H116" s="130">
        <f>IF($F$7='CHUNG TU'!J107,'CHUNG TU'!$L107,0)</f>
        <v>0</v>
      </c>
      <c r="I116" s="130">
        <f>IF(G116+H116&lt;&gt;0,$I$10+SUM($G$14:G116)-SUM($H$14:H116),0)</f>
        <v>0</v>
      </c>
    </row>
    <row r="117" spans="2:9" ht="14.25">
      <c r="B117" s="129">
        <f>IF($F117&lt;&gt;"",'CHUNG TU'!A108,"")</f>
      </c>
      <c r="C117" s="129">
        <f>IF($F117&lt;&gt;"",'CHUNG TU'!B108,"")</f>
      </c>
      <c r="D117" s="129">
        <f>IF($F117&lt;&gt;"",'CHUNG TU'!F108,"")</f>
      </c>
      <c r="E117" s="129">
        <f>IF($F117&lt;&gt;"",'CHUNG TU'!H108,"")</f>
      </c>
      <c r="F117" s="130">
        <f>IF($F$7='CHUNG TU'!I108,'CHUNG TU'!J108,IF($F$7='CHUNG TU'!J108,'CHUNG TU'!I108,""))</f>
      </c>
      <c r="G117" s="130">
        <f>IF($F$7='CHUNG TU'!I108,'CHUNG TU'!$L108,0)</f>
        <v>0</v>
      </c>
      <c r="H117" s="130">
        <f>IF($F$7='CHUNG TU'!J108,'CHUNG TU'!$L108,0)</f>
        <v>0</v>
      </c>
      <c r="I117" s="130">
        <f>IF(G117+H117&lt;&gt;0,$I$10+SUM($G$14:G117)-SUM($H$14:H117),0)</f>
        <v>0</v>
      </c>
    </row>
    <row r="118" spans="2:9" ht="14.25">
      <c r="B118" s="129">
        <f>IF($F118&lt;&gt;"",'CHUNG TU'!A109,"")</f>
      </c>
      <c r="C118" s="129">
        <f>IF($F118&lt;&gt;"",'CHUNG TU'!B109,"")</f>
      </c>
      <c r="D118" s="129">
        <f>IF($F118&lt;&gt;"",'CHUNG TU'!F109,"")</f>
      </c>
      <c r="E118" s="129">
        <f>IF($F118&lt;&gt;"",'CHUNG TU'!H109,"")</f>
      </c>
      <c r="F118" s="130">
        <f>IF($F$7='CHUNG TU'!I109,'CHUNG TU'!J109,IF($F$7='CHUNG TU'!J109,'CHUNG TU'!I109,""))</f>
      </c>
      <c r="G118" s="130">
        <f>IF($F$7='CHUNG TU'!I109,'CHUNG TU'!$L109,0)</f>
        <v>0</v>
      </c>
      <c r="H118" s="130">
        <f>IF($F$7='CHUNG TU'!J109,'CHUNG TU'!$L109,0)</f>
        <v>0</v>
      </c>
      <c r="I118" s="130">
        <f>IF(G118+H118&lt;&gt;0,$I$10+SUM($G$14:G118)-SUM($H$14:H118),0)</f>
        <v>0</v>
      </c>
    </row>
    <row r="119" spans="2:9" ht="14.25">
      <c r="B119" s="129">
        <f>IF($F119&lt;&gt;"",'CHUNG TU'!A110,"")</f>
      </c>
      <c r="C119" s="129">
        <f>IF($F119&lt;&gt;"",'CHUNG TU'!B110,"")</f>
      </c>
      <c r="D119" s="129">
        <f>IF($F119&lt;&gt;"",'CHUNG TU'!F110,"")</f>
      </c>
      <c r="E119" s="129">
        <f>IF($F119&lt;&gt;"",'CHUNG TU'!H110,"")</f>
      </c>
      <c r="F119" s="130">
        <f>IF($F$7='CHUNG TU'!I110,'CHUNG TU'!J110,IF($F$7='CHUNG TU'!J110,'CHUNG TU'!I110,""))</f>
      </c>
      <c r="G119" s="130">
        <f>IF($F$7='CHUNG TU'!I110,'CHUNG TU'!$L110,0)</f>
        <v>0</v>
      </c>
      <c r="H119" s="130">
        <f>IF($F$7='CHUNG TU'!J110,'CHUNG TU'!$L110,0)</f>
        <v>0</v>
      </c>
      <c r="I119" s="130">
        <f>IF(G119+H119&lt;&gt;0,$I$10+SUM($G$14:G119)-SUM($H$14:H119),0)</f>
        <v>0</v>
      </c>
    </row>
    <row r="120" spans="2:9" ht="14.25">
      <c r="B120" s="129">
        <f>IF($F120&lt;&gt;"",'CHUNG TU'!A111,"")</f>
      </c>
      <c r="C120" s="129">
        <f>IF($F120&lt;&gt;"",'CHUNG TU'!B111,"")</f>
      </c>
      <c r="D120" s="129">
        <f>IF($F120&lt;&gt;"",'CHUNG TU'!F111,"")</f>
      </c>
      <c r="E120" s="129">
        <f>IF($F120&lt;&gt;"",'CHUNG TU'!H111,"")</f>
      </c>
      <c r="F120" s="130">
        <f>IF($F$7='CHUNG TU'!I111,'CHUNG TU'!J111,IF($F$7='CHUNG TU'!J111,'CHUNG TU'!I111,""))</f>
      </c>
      <c r="G120" s="130">
        <f>IF($F$7='CHUNG TU'!I111,'CHUNG TU'!$L111,0)</f>
        <v>0</v>
      </c>
      <c r="H120" s="130">
        <f>IF($F$7='CHUNG TU'!J111,'CHUNG TU'!$L111,0)</f>
        <v>0</v>
      </c>
      <c r="I120" s="130">
        <f>IF(G120+H120&lt;&gt;0,$I$10+SUM($G$14:G120)-SUM($H$14:H120),0)</f>
        <v>0</v>
      </c>
    </row>
    <row r="121" spans="2:9" ht="14.25">
      <c r="B121" s="129">
        <f>IF($F121&lt;&gt;"",'CHUNG TU'!A112,"")</f>
      </c>
      <c r="C121" s="129">
        <f>IF($F121&lt;&gt;"",'CHUNG TU'!B112,"")</f>
      </c>
      <c r="D121" s="129">
        <f>IF($F121&lt;&gt;"",'CHUNG TU'!F112,"")</f>
      </c>
      <c r="E121" s="129">
        <f>IF($F121&lt;&gt;"",'CHUNG TU'!H112,"")</f>
      </c>
      <c r="F121" s="130">
        <f>IF($F$7='CHUNG TU'!I112,'CHUNG TU'!J112,IF($F$7='CHUNG TU'!J112,'CHUNG TU'!I112,""))</f>
      </c>
      <c r="G121" s="130">
        <f>IF($F$7='CHUNG TU'!I112,'CHUNG TU'!$L112,0)</f>
        <v>0</v>
      </c>
      <c r="H121" s="130">
        <f>IF($F$7='CHUNG TU'!J112,'CHUNG TU'!$L112,0)</f>
        <v>0</v>
      </c>
      <c r="I121" s="130">
        <f>IF(G121+H121&lt;&gt;0,$I$10+SUM($G$14:G121)-SUM($H$14:H121),0)</f>
        <v>0</v>
      </c>
    </row>
    <row r="122" spans="2:9" ht="14.25">
      <c r="B122" s="129">
        <f>IF($F122&lt;&gt;"",'CHUNG TU'!A113,"")</f>
      </c>
      <c r="C122" s="129">
        <f>IF($F122&lt;&gt;"",'CHUNG TU'!B113,"")</f>
      </c>
      <c r="D122" s="129">
        <f>IF($F122&lt;&gt;"",'CHUNG TU'!F113,"")</f>
      </c>
      <c r="E122" s="129">
        <f>IF($F122&lt;&gt;"",'CHUNG TU'!H113,"")</f>
      </c>
      <c r="F122" s="130">
        <f>IF($F$7='CHUNG TU'!I113,'CHUNG TU'!J113,IF($F$7='CHUNG TU'!J113,'CHUNG TU'!I113,""))</f>
      </c>
      <c r="G122" s="130">
        <f>IF($F$7='CHUNG TU'!I113,'CHUNG TU'!$L113,0)</f>
        <v>0</v>
      </c>
      <c r="H122" s="130">
        <f>IF($F$7='CHUNG TU'!J113,'CHUNG TU'!$L113,0)</f>
        <v>0</v>
      </c>
      <c r="I122" s="130">
        <f>IF(G122+H122&lt;&gt;0,$I$10+SUM($G$14:G122)-SUM($H$14:H122),0)</f>
        <v>0</v>
      </c>
    </row>
    <row r="123" spans="2:9" ht="14.25">
      <c r="B123" s="129">
        <f>IF($F123&lt;&gt;"",'CHUNG TU'!A114,"")</f>
      </c>
      <c r="C123" s="129">
        <f>IF($F123&lt;&gt;"",'CHUNG TU'!B114,"")</f>
      </c>
      <c r="D123" s="129">
        <f>IF($F123&lt;&gt;"",'CHUNG TU'!F114,"")</f>
      </c>
      <c r="E123" s="129">
        <f>IF($F123&lt;&gt;"",'CHUNG TU'!H114,"")</f>
      </c>
      <c r="F123" s="130">
        <f>IF($F$7='CHUNG TU'!I114,'CHUNG TU'!J114,IF($F$7='CHUNG TU'!J114,'CHUNG TU'!I114,""))</f>
      </c>
      <c r="G123" s="130">
        <f>IF($F$7='CHUNG TU'!I114,'CHUNG TU'!$L114,0)</f>
        <v>0</v>
      </c>
      <c r="H123" s="130">
        <f>IF($F$7='CHUNG TU'!J114,'CHUNG TU'!$L114,0)</f>
        <v>0</v>
      </c>
      <c r="I123" s="130">
        <f>IF(G123+H123&lt;&gt;0,$I$10+SUM($G$14:G123)-SUM($H$14:H123),0)</f>
        <v>0</v>
      </c>
    </row>
    <row r="124" spans="2:9" ht="14.25">
      <c r="B124" s="129">
        <f>IF($F124&lt;&gt;"",'CHUNG TU'!A115,"")</f>
      </c>
      <c r="C124" s="129">
        <f>IF($F124&lt;&gt;"",'CHUNG TU'!B115,"")</f>
      </c>
      <c r="D124" s="129">
        <f>IF($F124&lt;&gt;"",'CHUNG TU'!F115,"")</f>
      </c>
      <c r="E124" s="129">
        <f>IF($F124&lt;&gt;"",'CHUNG TU'!H115,"")</f>
      </c>
      <c r="F124" s="130">
        <f>IF($F$7='CHUNG TU'!I115,'CHUNG TU'!J115,IF($F$7='CHUNG TU'!J115,'CHUNG TU'!I115,""))</f>
      </c>
      <c r="G124" s="130">
        <f>IF($F$7='CHUNG TU'!I115,'CHUNG TU'!$L115,0)</f>
        <v>0</v>
      </c>
      <c r="H124" s="130">
        <f>IF($F$7='CHUNG TU'!J115,'CHUNG TU'!$L115,0)</f>
        <v>0</v>
      </c>
      <c r="I124" s="130">
        <f>IF(G124+H124&lt;&gt;0,$I$10+SUM($G$14:G124)-SUM($H$14:H124),0)</f>
        <v>0</v>
      </c>
    </row>
    <row r="125" spans="2:9" ht="14.25">
      <c r="B125" s="129">
        <f>IF($F125&lt;&gt;"",'CHUNG TU'!A116,"")</f>
      </c>
      <c r="C125" s="129">
        <f>IF($F125&lt;&gt;"",'CHUNG TU'!B116,"")</f>
      </c>
      <c r="D125" s="129">
        <f>IF($F125&lt;&gt;"",'CHUNG TU'!F116,"")</f>
      </c>
      <c r="E125" s="129">
        <f>IF($F125&lt;&gt;"",'CHUNG TU'!H116,"")</f>
      </c>
      <c r="F125" s="130">
        <f>IF($F$7='CHUNG TU'!I116,'CHUNG TU'!J116,IF($F$7='CHUNG TU'!J116,'CHUNG TU'!I116,""))</f>
      </c>
      <c r="G125" s="130">
        <f>IF($F$7='CHUNG TU'!I116,'CHUNG TU'!$L116,0)</f>
        <v>0</v>
      </c>
      <c r="H125" s="130">
        <f>IF($F$7='CHUNG TU'!J116,'CHUNG TU'!$L116,0)</f>
        <v>0</v>
      </c>
      <c r="I125" s="130">
        <f>IF(G125+H125&lt;&gt;0,$I$10+SUM($G$14:G125)-SUM($H$14:H125),0)</f>
        <v>0</v>
      </c>
    </row>
    <row r="126" spans="2:9" ht="14.25">
      <c r="B126" s="129">
        <f>IF($F126&lt;&gt;"",'CHUNG TU'!A117,"")</f>
      </c>
      <c r="C126" s="129">
        <f>IF($F126&lt;&gt;"",'CHUNG TU'!B117,"")</f>
      </c>
      <c r="D126" s="129">
        <f>IF($F126&lt;&gt;"",'CHUNG TU'!F117,"")</f>
      </c>
      <c r="E126" s="129">
        <f>IF($F126&lt;&gt;"",'CHUNG TU'!H117,"")</f>
      </c>
      <c r="F126" s="130">
        <f>IF($F$7='CHUNG TU'!I117,'CHUNG TU'!J117,IF($F$7='CHUNG TU'!J117,'CHUNG TU'!I117,""))</f>
      </c>
      <c r="G126" s="130">
        <f>IF($F$7='CHUNG TU'!I117,'CHUNG TU'!$L117,0)</f>
        <v>0</v>
      </c>
      <c r="H126" s="130">
        <f>IF($F$7='CHUNG TU'!J117,'CHUNG TU'!$L117,0)</f>
        <v>0</v>
      </c>
      <c r="I126" s="130">
        <f>IF(G126+H126&lt;&gt;0,$I$10+SUM($G$14:G126)-SUM($H$14:H126),0)</f>
        <v>0</v>
      </c>
    </row>
    <row r="127" spans="2:9" ht="14.25">
      <c r="B127" s="129">
        <f>IF($F127&lt;&gt;"",'CHUNG TU'!A118,"")</f>
      </c>
      <c r="C127" s="129">
        <f>IF($F127&lt;&gt;"",'CHUNG TU'!B118,"")</f>
      </c>
      <c r="D127" s="129">
        <f>IF($F127&lt;&gt;"",'CHUNG TU'!F118,"")</f>
      </c>
      <c r="E127" s="129">
        <f>IF($F127&lt;&gt;"",'CHUNG TU'!H118,"")</f>
      </c>
      <c r="F127" s="130">
        <f>IF($F$7='CHUNG TU'!I118,'CHUNG TU'!J118,IF($F$7='CHUNG TU'!J118,'CHUNG TU'!I118,""))</f>
      </c>
      <c r="G127" s="130">
        <f>IF($F$7='CHUNG TU'!I118,'CHUNG TU'!$L118,0)</f>
        <v>0</v>
      </c>
      <c r="H127" s="130">
        <f>IF($F$7='CHUNG TU'!J118,'CHUNG TU'!$L118,0)</f>
        <v>0</v>
      </c>
      <c r="I127" s="130">
        <f>IF(G127+H127&lt;&gt;0,$I$10+SUM($G$14:G127)-SUM($H$14:H127),0)</f>
        <v>0</v>
      </c>
    </row>
    <row r="128" spans="2:9" ht="14.25">
      <c r="B128" s="129">
        <f>IF($F128&lt;&gt;"",'CHUNG TU'!A119,"")</f>
      </c>
      <c r="C128" s="129">
        <f>IF($F128&lt;&gt;"",'CHUNG TU'!B119,"")</f>
      </c>
      <c r="D128" s="129">
        <f>IF($F128&lt;&gt;"",'CHUNG TU'!F119,"")</f>
      </c>
      <c r="E128" s="129">
        <f>IF($F128&lt;&gt;"",'CHUNG TU'!H119,"")</f>
      </c>
      <c r="F128" s="130">
        <f>IF($F$7='CHUNG TU'!I119,'CHUNG TU'!J119,IF($F$7='CHUNG TU'!J119,'CHUNG TU'!I119,""))</f>
      </c>
      <c r="G128" s="130">
        <f>IF($F$7='CHUNG TU'!I119,'CHUNG TU'!$L119,0)</f>
        <v>0</v>
      </c>
      <c r="H128" s="130">
        <f>IF($F$7='CHUNG TU'!J119,'CHUNG TU'!$L119,0)</f>
        <v>0</v>
      </c>
      <c r="I128" s="130">
        <f>IF(G128+H128&lt;&gt;0,$I$10+SUM($G$14:G128)-SUM($H$14:H128),0)</f>
        <v>0</v>
      </c>
    </row>
    <row r="129" spans="2:9" ht="14.25">
      <c r="B129" s="129">
        <f>IF($F129&lt;&gt;"",'CHUNG TU'!A120,"")</f>
      </c>
      <c r="C129" s="129">
        <f>IF($F129&lt;&gt;"",'CHUNG TU'!B120,"")</f>
      </c>
      <c r="D129" s="129">
        <f>IF($F129&lt;&gt;"",'CHUNG TU'!F120,"")</f>
      </c>
      <c r="E129" s="129">
        <f>IF($F129&lt;&gt;"",'CHUNG TU'!H120,"")</f>
      </c>
      <c r="F129" s="130">
        <f>IF($F$7='CHUNG TU'!I120,'CHUNG TU'!J120,IF($F$7='CHUNG TU'!J120,'CHUNG TU'!I120,""))</f>
      </c>
      <c r="G129" s="130">
        <f>IF($F$7='CHUNG TU'!I120,'CHUNG TU'!$L120,0)</f>
        <v>0</v>
      </c>
      <c r="H129" s="130">
        <f>IF($F$7='CHUNG TU'!J120,'CHUNG TU'!$L120,0)</f>
        <v>0</v>
      </c>
      <c r="I129" s="130">
        <f>IF(G129+H129&lt;&gt;0,$I$10+SUM($G$14:G129)-SUM($H$14:H129),0)</f>
        <v>0</v>
      </c>
    </row>
    <row r="130" spans="2:9" ht="14.25">
      <c r="B130" s="129">
        <f>IF($F130&lt;&gt;"",'CHUNG TU'!A121,"")</f>
      </c>
      <c r="C130" s="129">
        <f>IF($F130&lt;&gt;"",'CHUNG TU'!B121,"")</f>
      </c>
      <c r="D130" s="129">
        <f>IF($F130&lt;&gt;"",'CHUNG TU'!F121,"")</f>
      </c>
      <c r="E130" s="129">
        <f>IF($F130&lt;&gt;"",'CHUNG TU'!H121,"")</f>
      </c>
      <c r="F130" s="130">
        <f>IF($F$7='CHUNG TU'!I121,'CHUNG TU'!J121,IF($F$7='CHUNG TU'!J121,'CHUNG TU'!I121,""))</f>
      </c>
      <c r="G130" s="130">
        <f>IF($F$7='CHUNG TU'!I121,'CHUNG TU'!$L121,0)</f>
        <v>0</v>
      </c>
      <c r="H130" s="130">
        <f>IF($F$7='CHUNG TU'!J121,'CHUNG TU'!$L121,0)</f>
        <v>0</v>
      </c>
      <c r="I130" s="130">
        <f>IF(G130+H130&lt;&gt;0,$I$10+SUM($G$14:G130)-SUM($H$14:H130),0)</f>
        <v>0</v>
      </c>
    </row>
    <row r="131" spans="2:9" ht="14.25">
      <c r="B131" s="129">
        <f>IF($F131&lt;&gt;"",'CHUNG TU'!A122,"")</f>
      </c>
      <c r="C131" s="129">
        <f>IF($F131&lt;&gt;"",'CHUNG TU'!B122,"")</f>
      </c>
      <c r="D131" s="129">
        <f>IF($F131&lt;&gt;"",'CHUNG TU'!F122,"")</f>
      </c>
      <c r="E131" s="129">
        <f>IF($F131&lt;&gt;"",'CHUNG TU'!H122,"")</f>
      </c>
      <c r="F131" s="130">
        <f>IF($F$7='CHUNG TU'!I122,'CHUNG TU'!J122,IF($F$7='CHUNG TU'!J122,'CHUNG TU'!I122,""))</f>
      </c>
      <c r="G131" s="130">
        <f>IF($F$7='CHUNG TU'!I122,'CHUNG TU'!$L122,0)</f>
        <v>0</v>
      </c>
      <c r="H131" s="130">
        <f>IF($F$7='CHUNG TU'!J122,'CHUNG TU'!$L122,0)</f>
        <v>0</v>
      </c>
      <c r="I131" s="130">
        <f>IF(G131+H131&lt;&gt;0,$I$10+SUM($G$14:G131)-SUM($H$14:H131),0)</f>
        <v>0</v>
      </c>
    </row>
    <row r="132" spans="2:9" ht="14.25">
      <c r="B132" s="129">
        <f>IF($F132&lt;&gt;"",'CHUNG TU'!A123,"")</f>
      </c>
      <c r="C132" s="129">
        <f>IF($F132&lt;&gt;"",'CHUNG TU'!B123,"")</f>
      </c>
      <c r="D132" s="129">
        <f>IF($F132&lt;&gt;"",'CHUNG TU'!F123,"")</f>
      </c>
      <c r="E132" s="129">
        <f>IF($F132&lt;&gt;"",'CHUNG TU'!H123,"")</f>
      </c>
      <c r="F132" s="130">
        <f>IF($F$7='CHUNG TU'!I123,'CHUNG TU'!J123,IF($F$7='CHUNG TU'!J123,'CHUNG TU'!I123,""))</f>
      </c>
      <c r="G132" s="130">
        <f>IF($F$7='CHUNG TU'!I123,'CHUNG TU'!$L123,0)</f>
        <v>0</v>
      </c>
      <c r="H132" s="130">
        <f>IF($F$7='CHUNG TU'!J123,'CHUNG TU'!$L123,0)</f>
        <v>0</v>
      </c>
      <c r="I132" s="130">
        <f>IF(G132+H132&lt;&gt;0,$I$10+SUM($G$14:G132)-SUM($H$14:H132),0)</f>
        <v>0</v>
      </c>
    </row>
    <row r="133" spans="2:9" ht="14.25">
      <c r="B133" s="129">
        <f>IF($F133&lt;&gt;"",'CHUNG TU'!A124,"")</f>
      </c>
      <c r="C133" s="129">
        <f>IF($F133&lt;&gt;"",'CHUNG TU'!B124,"")</f>
      </c>
      <c r="D133" s="129">
        <f>IF($F133&lt;&gt;"",'CHUNG TU'!F124,"")</f>
      </c>
      <c r="E133" s="129">
        <f>IF($F133&lt;&gt;"",'CHUNG TU'!H124,"")</f>
      </c>
      <c r="F133" s="130">
        <f>IF($F$7='CHUNG TU'!I124,'CHUNG TU'!J124,IF($F$7='CHUNG TU'!J124,'CHUNG TU'!I124,""))</f>
      </c>
      <c r="G133" s="130">
        <f>IF($F$7='CHUNG TU'!I124,'CHUNG TU'!$L124,0)</f>
        <v>0</v>
      </c>
      <c r="H133" s="130">
        <f>IF($F$7='CHUNG TU'!J124,'CHUNG TU'!$L124,0)</f>
        <v>0</v>
      </c>
      <c r="I133" s="130">
        <f>IF(G133+H133&lt;&gt;0,$I$10+SUM($G$14:G133)-SUM($H$14:H133),0)</f>
        <v>0</v>
      </c>
    </row>
    <row r="134" spans="2:9" ht="14.25">
      <c r="B134" s="129">
        <f>IF($F134&lt;&gt;"",'CHUNG TU'!A125,"")</f>
      </c>
      <c r="C134" s="129">
        <f>IF($F134&lt;&gt;"",'CHUNG TU'!B125,"")</f>
      </c>
      <c r="D134" s="129">
        <f>IF($F134&lt;&gt;"",'CHUNG TU'!F125,"")</f>
      </c>
      <c r="E134" s="129">
        <f>IF($F134&lt;&gt;"",'CHUNG TU'!H125,"")</f>
      </c>
      <c r="F134" s="130">
        <f>IF($F$7='CHUNG TU'!I125,'CHUNG TU'!J125,IF($F$7='CHUNG TU'!J125,'CHUNG TU'!I125,""))</f>
      </c>
      <c r="G134" s="130">
        <f>IF($F$7='CHUNG TU'!I125,'CHUNG TU'!$L125,0)</f>
        <v>0</v>
      </c>
      <c r="H134" s="130">
        <f>IF($F$7='CHUNG TU'!J125,'CHUNG TU'!$L125,0)</f>
        <v>0</v>
      </c>
      <c r="I134" s="130">
        <f>IF(G134+H134&lt;&gt;0,$I$10+SUM($G$14:G134)-SUM($H$14:H134),0)</f>
        <v>0</v>
      </c>
    </row>
    <row r="135" spans="2:9" ht="14.25">
      <c r="B135" s="129">
        <f>IF($F135&lt;&gt;"",'CHUNG TU'!A126,"")</f>
      </c>
      <c r="C135" s="129">
        <f>IF($F135&lt;&gt;"",'CHUNG TU'!B126,"")</f>
      </c>
      <c r="D135" s="129">
        <f>IF($F135&lt;&gt;"",'CHUNG TU'!F126,"")</f>
      </c>
      <c r="E135" s="129">
        <f>IF($F135&lt;&gt;"",'CHUNG TU'!H126,"")</f>
      </c>
      <c r="F135" s="130">
        <f>IF($F$7='CHUNG TU'!I126,'CHUNG TU'!J126,IF($F$7='CHUNG TU'!J126,'CHUNG TU'!I126,""))</f>
      </c>
      <c r="G135" s="130">
        <f>IF($F$7='CHUNG TU'!I126,'CHUNG TU'!$L126,0)</f>
        <v>0</v>
      </c>
      <c r="H135" s="130">
        <f>IF($F$7='CHUNG TU'!J126,'CHUNG TU'!$L126,0)</f>
        <v>0</v>
      </c>
      <c r="I135" s="130">
        <f>IF(G135+H135&lt;&gt;0,$I$10+SUM($G$14:G135)-SUM($H$14:H135),0)</f>
        <v>0</v>
      </c>
    </row>
    <row r="136" spans="2:9" ht="14.25">
      <c r="B136" s="129">
        <f>IF($F136&lt;&gt;"",'CHUNG TU'!A127,"")</f>
      </c>
      <c r="C136" s="129">
        <f>IF($F136&lt;&gt;"",'CHUNG TU'!B127,"")</f>
      </c>
      <c r="D136" s="129">
        <f>IF($F136&lt;&gt;"",'CHUNG TU'!F127,"")</f>
      </c>
      <c r="E136" s="129">
        <f>IF($F136&lt;&gt;"",'CHUNG TU'!H127,"")</f>
      </c>
      <c r="F136" s="130">
        <f>IF($F$7='CHUNG TU'!I127,'CHUNG TU'!J127,IF($F$7='CHUNG TU'!J127,'CHUNG TU'!I127,""))</f>
      </c>
      <c r="G136" s="130">
        <f>IF($F$7='CHUNG TU'!I127,'CHUNG TU'!$L127,0)</f>
        <v>0</v>
      </c>
      <c r="H136" s="130">
        <f>IF($F$7='CHUNG TU'!J127,'CHUNG TU'!$L127,0)</f>
        <v>0</v>
      </c>
      <c r="I136" s="130">
        <f>IF(G136+H136&lt;&gt;0,$I$10+SUM($G$14:G136)-SUM($H$14:H136),0)</f>
        <v>0</v>
      </c>
    </row>
    <row r="137" spans="2:9" ht="14.25">
      <c r="B137" s="129">
        <f>IF($F137&lt;&gt;"",'CHUNG TU'!A128,"")</f>
      </c>
      <c r="C137" s="129">
        <f>IF($F137&lt;&gt;"",'CHUNG TU'!B128,"")</f>
      </c>
      <c r="D137" s="129">
        <f>IF($F137&lt;&gt;"",'CHUNG TU'!F128,"")</f>
      </c>
      <c r="E137" s="129">
        <f>IF($F137&lt;&gt;"",'CHUNG TU'!H128,"")</f>
      </c>
      <c r="F137" s="130">
        <f>IF($F$7='CHUNG TU'!I128,'CHUNG TU'!J128,IF($F$7='CHUNG TU'!J128,'CHUNG TU'!I128,""))</f>
      </c>
      <c r="G137" s="130">
        <f>IF($F$7='CHUNG TU'!I128,'CHUNG TU'!$L128,0)</f>
        <v>0</v>
      </c>
      <c r="H137" s="130">
        <f>IF($F$7='CHUNG TU'!J128,'CHUNG TU'!$L128,0)</f>
        <v>0</v>
      </c>
      <c r="I137" s="130">
        <f>IF(G137+H137&lt;&gt;0,$I$10+SUM($G$14:G137)-SUM($H$14:H137),0)</f>
        <v>0</v>
      </c>
    </row>
    <row r="138" spans="2:9" ht="14.25">
      <c r="B138" s="129">
        <f>IF($F138&lt;&gt;"",'CHUNG TU'!A129,"")</f>
      </c>
      <c r="C138" s="129">
        <f>IF($F138&lt;&gt;"",'CHUNG TU'!B129,"")</f>
      </c>
      <c r="D138" s="129">
        <f>IF($F138&lt;&gt;"",'CHUNG TU'!F129,"")</f>
      </c>
      <c r="E138" s="129">
        <f>IF($F138&lt;&gt;"",'CHUNG TU'!H129,"")</f>
      </c>
      <c r="F138" s="130">
        <f>IF($F$7='CHUNG TU'!I129,'CHUNG TU'!J129,IF($F$7='CHUNG TU'!J129,'CHUNG TU'!I129,""))</f>
      </c>
      <c r="G138" s="130">
        <f>IF($F$7='CHUNG TU'!I129,'CHUNG TU'!$L129,0)</f>
        <v>0</v>
      </c>
      <c r="H138" s="130">
        <f>IF($F$7='CHUNG TU'!J129,'CHUNG TU'!$L129,0)</f>
        <v>0</v>
      </c>
      <c r="I138" s="130">
        <f>IF(G138+H138&lt;&gt;0,$I$10+SUM($G$14:G138)-SUM($H$14:H138),0)</f>
        <v>0</v>
      </c>
    </row>
    <row r="139" spans="2:9" ht="14.25">
      <c r="B139" s="129">
        <f>IF($F139&lt;&gt;"",'CHUNG TU'!A130,"")</f>
      </c>
      <c r="C139" s="129">
        <f>IF($F139&lt;&gt;"",'CHUNG TU'!B130,"")</f>
      </c>
      <c r="D139" s="129">
        <f>IF($F139&lt;&gt;"",'CHUNG TU'!F130,"")</f>
      </c>
      <c r="E139" s="129">
        <f>IF($F139&lt;&gt;"",'CHUNG TU'!H130,"")</f>
      </c>
      <c r="F139" s="130">
        <f>IF($F$7='CHUNG TU'!I130,'CHUNG TU'!J130,IF($F$7='CHUNG TU'!J130,'CHUNG TU'!I130,""))</f>
      </c>
      <c r="G139" s="130">
        <f>IF($F$7='CHUNG TU'!I130,'CHUNG TU'!$L130,0)</f>
        <v>0</v>
      </c>
      <c r="H139" s="130">
        <f>IF($F$7='CHUNG TU'!J130,'CHUNG TU'!$L130,0)</f>
        <v>0</v>
      </c>
      <c r="I139" s="130">
        <f>IF(G139+H139&lt;&gt;0,$I$10+SUM($G$14:G139)-SUM($H$14:H139),0)</f>
        <v>0</v>
      </c>
    </row>
    <row r="140" spans="2:9" ht="14.25">
      <c r="B140" s="129">
        <f>IF($F140&lt;&gt;"",'CHUNG TU'!A131,"")</f>
      </c>
      <c r="C140" s="129">
        <f>IF($F140&lt;&gt;"",'CHUNG TU'!B131,"")</f>
      </c>
      <c r="D140" s="129">
        <f>IF($F140&lt;&gt;"",'CHUNG TU'!F131,"")</f>
      </c>
      <c r="E140" s="129">
        <f>IF($F140&lt;&gt;"",'CHUNG TU'!H131,"")</f>
      </c>
      <c r="F140" s="130">
        <f>IF($F$7='CHUNG TU'!I131,'CHUNG TU'!J131,IF($F$7='CHUNG TU'!J131,'CHUNG TU'!I131,""))</f>
      </c>
      <c r="G140" s="130">
        <f>IF($F$7='CHUNG TU'!I131,'CHUNG TU'!$L131,0)</f>
        <v>0</v>
      </c>
      <c r="H140" s="130">
        <f>IF($F$7='CHUNG TU'!J131,'CHUNG TU'!$L131,0)</f>
        <v>0</v>
      </c>
      <c r="I140" s="130">
        <f>IF(G140+H140&lt;&gt;0,$I$10+SUM($G$14:G140)-SUM($H$14:H140),0)</f>
        <v>0</v>
      </c>
    </row>
    <row r="141" spans="2:9" ht="14.25">
      <c r="B141" s="129">
        <f>IF($F141&lt;&gt;"",'CHUNG TU'!A132,"")</f>
      </c>
      <c r="C141" s="129">
        <f>IF($F141&lt;&gt;"",'CHUNG TU'!B132,"")</f>
      </c>
      <c r="D141" s="129">
        <f>IF($F141&lt;&gt;"",'CHUNG TU'!F132,"")</f>
      </c>
      <c r="E141" s="129">
        <f>IF($F141&lt;&gt;"",'CHUNG TU'!H132,"")</f>
      </c>
      <c r="F141" s="130">
        <f>IF($F$7='CHUNG TU'!I132,'CHUNG TU'!J132,IF($F$7='CHUNG TU'!J132,'CHUNG TU'!I132,""))</f>
      </c>
      <c r="G141" s="130">
        <f>IF($F$7='CHUNG TU'!I132,'CHUNG TU'!$L132,0)</f>
        <v>0</v>
      </c>
      <c r="H141" s="130">
        <f>IF($F$7='CHUNG TU'!J132,'CHUNG TU'!$L132,0)</f>
        <v>0</v>
      </c>
      <c r="I141" s="130">
        <f>IF(G141+H141&lt;&gt;0,$I$10+SUM($G$14:G141)-SUM($H$14:H141),0)</f>
        <v>0</v>
      </c>
    </row>
    <row r="142" spans="2:9" ht="14.25">
      <c r="B142" s="129">
        <f>IF($F142&lt;&gt;"",'CHUNG TU'!A133,"")</f>
      </c>
      <c r="C142" s="129">
        <f>IF($F142&lt;&gt;"",'CHUNG TU'!B133,"")</f>
      </c>
      <c r="D142" s="129">
        <f>IF($F142&lt;&gt;"",'CHUNG TU'!F133,"")</f>
      </c>
      <c r="E142" s="129">
        <f>IF($F142&lt;&gt;"",'CHUNG TU'!H133,"")</f>
      </c>
      <c r="F142" s="130">
        <f>IF($F$7='CHUNG TU'!I133,'CHUNG TU'!J133,IF($F$7='CHUNG TU'!J133,'CHUNG TU'!I133,""))</f>
      </c>
      <c r="G142" s="130">
        <f>IF($F$7='CHUNG TU'!I133,'CHUNG TU'!$L133,0)</f>
        <v>0</v>
      </c>
      <c r="H142" s="130">
        <f>IF($F$7='CHUNG TU'!J133,'CHUNG TU'!$L133,0)</f>
        <v>0</v>
      </c>
      <c r="I142" s="130">
        <f>IF(G142+H142&lt;&gt;0,$I$10+SUM($G$14:G142)-SUM($H$14:H142),0)</f>
        <v>0</v>
      </c>
    </row>
    <row r="143" spans="2:9" ht="14.25">
      <c r="B143" s="129">
        <f>IF($F143&lt;&gt;"",'CHUNG TU'!A134,"")</f>
      </c>
      <c r="C143" s="129">
        <f>IF($F143&lt;&gt;"",'CHUNG TU'!B134,"")</f>
      </c>
      <c r="D143" s="129">
        <f>IF($F143&lt;&gt;"",'CHUNG TU'!F134,"")</f>
      </c>
      <c r="E143" s="129">
        <f>IF($F143&lt;&gt;"",'CHUNG TU'!H134,"")</f>
      </c>
      <c r="F143" s="130">
        <f>IF($F$7='CHUNG TU'!I134,'CHUNG TU'!J134,IF($F$7='CHUNG TU'!J134,'CHUNG TU'!I134,""))</f>
      </c>
      <c r="G143" s="130">
        <f>IF($F$7='CHUNG TU'!I134,'CHUNG TU'!$L134,0)</f>
        <v>0</v>
      </c>
      <c r="H143" s="130">
        <f>IF($F$7='CHUNG TU'!J134,'CHUNG TU'!$L134,0)</f>
        <v>0</v>
      </c>
      <c r="I143" s="130">
        <f>IF(G143+H143&lt;&gt;0,$I$10+SUM($G$14:G143)-SUM($H$14:H143),0)</f>
        <v>0</v>
      </c>
    </row>
    <row r="144" spans="2:9" ht="14.25">
      <c r="B144" s="129">
        <f>IF($F144&lt;&gt;"",'CHUNG TU'!A135,"")</f>
      </c>
      <c r="C144" s="129">
        <f>IF($F144&lt;&gt;"",'CHUNG TU'!B135,"")</f>
      </c>
      <c r="D144" s="129">
        <f>IF($F144&lt;&gt;"",'CHUNG TU'!F135,"")</f>
      </c>
      <c r="E144" s="129">
        <f>IF($F144&lt;&gt;"",'CHUNG TU'!H135,"")</f>
      </c>
      <c r="F144" s="130">
        <f>IF($F$7='CHUNG TU'!I135,'CHUNG TU'!J135,IF($F$7='CHUNG TU'!J135,'CHUNG TU'!I135,""))</f>
      </c>
      <c r="G144" s="130">
        <f>IF($F$7='CHUNG TU'!I135,'CHUNG TU'!$L135,0)</f>
        <v>0</v>
      </c>
      <c r="H144" s="130">
        <f>IF($F$7='CHUNG TU'!J135,'CHUNG TU'!$L135,0)</f>
        <v>0</v>
      </c>
      <c r="I144" s="130">
        <f>IF(G144+H144&lt;&gt;0,$I$10+SUM($G$14:G144)-SUM($H$14:H144),0)</f>
        <v>0</v>
      </c>
    </row>
    <row r="145" spans="2:9" ht="14.25">
      <c r="B145" s="129">
        <f>IF($F145&lt;&gt;"",'CHUNG TU'!A136,"")</f>
      </c>
      <c r="C145" s="129">
        <f>IF($F145&lt;&gt;"",'CHUNG TU'!B136,"")</f>
      </c>
      <c r="D145" s="129">
        <f>IF($F145&lt;&gt;"",'CHUNG TU'!F136,"")</f>
      </c>
      <c r="E145" s="129">
        <f>IF($F145&lt;&gt;"",'CHUNG TU'!H136,"")</f>
      </c>
      <c r="F145" s="130">
        <f>IF($F$7='CHUNG TU'!I136,'CHUNG TU'!J136,IF($F$7='CHUNG TU'!J136,'CHUNG TU'!I136,""))</f>
      </c>
      <c r="G145" s="130">
        <f>IF($F$7='CHUNG TU'!I136,'CHUNG TU'!$L136,0)</f>
        <v>0</v>
      </c>
      <c r="H145" s="130">
        <f>IF($F$7='CHUNG TU'!J136,'CHUNG TU'!$L136,0)</f>
        <v>0</v>
      </c>
      <c r="I145" s="130">
        <f>IF(G145+H145&lt;&gt;0,$I$10+SUM($G$14:G145)-SUM($H$14:H145),0)</f>
        <v>0</v>
      </c>
    </row>
    <row r="146" spans="2:9" ht="14.25">
      <c r="B146" s="129">
        <f>IF($F146&lt;&gt;"",'CHUNG TU'!A137,"")</f>
      </c>
      <c r="C146" s="129">
        <f>IF($F146&lt;&gt;"",'CHUNG TU'!B137,"")</f>
      </c>
      <c r="D146" s="129">
        <f>IF($F146&lt;&gt;"",'CHUNG TU'!F137,"")</f>
      </c>
      <c r="E146" s="129">
        <f>IF($F146&lt;&gt;"",'CHUNG TU'!H137,"")</f>
      </c>
      <c r="F146" s="130">
        <f>IF($F$7='CHUNG TU'!I137,'CHUNG TU'!J137,IF($F$7='CHUNG TU'!J137,'CHUNG TU'!I137,""))</f>
      </c>
      <c r="G146" s="130">
        <f>IF($F$7='CHUNG TU'!I137,'CHUNG TU'!$L137,0)</f>
        <v>0</v>
      </c>
      <c r="H146" s="130">
        <f>IF($F$7='CHUNG TU'!J137,'CHUNG TU'!$L137,0)</f>
        <v>0</v>
      </c>
      <c r="I146" s="130">
        <f>IF(G146+H146&lt;&gt;0,$I$10+SUM($G$14:G146)-SUM($H$14:H146),0)</f>
        <v>0</v>
      </c>
    </row>
    <row r="147" spans="2:9" ht="14.25">
      <c r="B147" s="129">
        <f>IF($F147&lt;&gt;"",'CHUNG TU'!A138,"")</f>
      </c>
      <c r="C147" s="129">
        <f>IF($F147&lt;&gt;"",'CHUNG TU'!B138,"")</f>
      </c>
      <c r="D147" s="129">
        <f>IF($F147&lt;&gt;"",'CHUNG TU'!F138,"")</f>
      </c>
      <c r="E147" s="129">
        <f>IF($F147&lt;&gt;"",'CHUNG TU'!H138,"")</f>
      </c>
      <c r="F147" s="130">
        <f>IF($F$7='CHUNG TU'!I138,'CHUNG TU'!J138,IF($F$7='CHUNG TU'!J138,'CHUNG TU'!I138,""))</f>
      </c>
      <c r="G147" s="130">
        <f>IF($F$7='CHUNG TU'!I138,'CHUNG TU'!$L138,0)</f>
        <v>0</v>
      </c>
      <c r="H147" s="130">
        <f>IF($F$7='CHUNG TU'!J138,'CHUNG TU'!$L138,0)</f>
        <v>0</v>
      </c>
      <c r="I147" s="130">
        <f>IF(G147+H147&lt;&gt;0,$I$10+SUM($G$14:G147)-SUM($H$14:H147),0)</f>
        <v>0</v>
      </c>
    </row>
    <row r="148" spans="2:9" ht="14.25">
      <c r="B148" s="129">
        <f>IF($F148&lt;&gt;"",'CHUNG TU'!A139,"")</f>
      </c>
      <c r="C148" s="129">
        <f>IF($F148&lt;&gt;"",'CHUNG TU'!B139,"")</f>
      </c>
      <c r="D148" s="129">
        <f>IF($F148&lt;&gt;"",'CHUNG TU'!F139,"")</f>
      </c>
      <c r="E148" s="129">
        <f>IF($F148&lt;&gt;"",'CHUNG TU'!H139,"")</f>
      </c>
      <c r="F148" s="130">
        <f>IF($F$7='CHUNG TU'!I139,'CHUNG TU'!J139,IF($F$7='CHUNG TU'!J139,'CHUNG TU'!I139,""))</f>
      </c>
      <c r="G148" s="130">
        <f>IF($F$7='CHUNG TU'!I139,'CHUNG TU'!$L139,0)</f>
        <v>0</v>
      </c>
      <c r="H148" s="130">
        <f>IF($F$7='CHUNG TU'!J139,'CHUNG TU'!$L139,0)</f>
        <v>0</v>
      </c>
      <c r="I148" s="130">
        <f>IF(G148+H148&lt;&gt;0,$I$10+SUM($G$14:G148)-SUM($H$14:H148),0)</f>
        <v>0</v>
      </c>
    </row>
    <row r="149" spans="2:9" ht="14.25">
      <c r="B149" s="129">
        <f>IF($F149&lt;&gt;"",'CHUNG TU'!A140,"")</f>
      </c>
      <c r="C149" s="129">
        <f>IF($F149&lt;&gt;"",'CHUNG TU'!B140,"")</f>
      </c>
      <c r="D149" s="129">
        <f>IF($F149&lt;&gt;"",'CHUNG TU'!F140,"")</f>
      </c>
      <c r="E149" s="129">
        <f>IF($F149&lt;&gt;"",'CHUNG TU'!H140,"")</f>
      </c>
      <c r="F149" s="130">
        <f>IF($F$7='CHUNG TU'!I140,'CHUNG TU'!J140,IF($F$7='CHUNG TU'!J140,'CHUNG TU'!I140,""))</f>
      </c>
      <c r="G149" s="130">
        <f>IF($F$7='CHUNG TU'!I140,'CHUNG TU'!$L140,0)</f>
        <v>0</v>
      </c>
      <c r="H149" s="130">
        <f>IF($F$7='CHUNG TU'!J140,'CHUNG TU'!$L140,0)</f>
        <v>0</v>
      </c>
      <c r="I149" s="130">
        <f>IF(G149+H149&lt;&gt;0,$I$10+SUM($G$14:G149)-SUM($H$14:H149),0)</f>
        <v>0</v>
      </c>
    </row>
    <row r="150" spans="2:9" ht="14.25">
      <c r="B150" s="129">
        <f>IF($F150&lt;&gt;"",'CHUNG TU'!A141,"")</f>
      </c>
      <c r="C150" s="129">
        <f>IF($F150&lt;&gt;"",'CHUNG TU'!B141,"")</f>
      </c>
      <c r="D150" s="129">
        <f>IF($F150&lt;&gt;"",'CHUNG TU'!F141,"")</f>
      </c>
      <c r="E150" s="129">
        <f>IF($F150&lt;&gt;"",'CHUNG TU'!H141,"")</f>
      </c>
      <c r="F150" s="130">
        <f>IF($F$7='CHUNG TU'!I141,'CHUNG TU'!J141,IF($F$7='CHUNG TU'!J141,'CHUNG TU'!I141,""))</f>
      </c>
      <c r="G150" s="130">
        <f>IF($F$7='CHUNG TU'!I141,'CHUNG TU'!$L141,0)</f>
        <v>0</v>
      </c>
      <c r="H150" s="130">
        <f>IF($F$7='CHUNG TU'!J141,'CHUNG TU'!$L141,0)</f>
        <v>0</v>
      </c>
      <c r="I150" s="130">
        <f>IF(G150+H150&lt;&gt;0,$I$10+SUM($G$14:G150)-SUM($H$14:H150),0)</f>
        <v>0</v>
      </c>
    </row>
    <row r="151" spans="2:9" ht="14.25">
      <c r="B151" s="129">
        <f>IF($F151&lt;&gt;"",'CHUNG TU'!A142,"")</f>
      </c>
      <c r="C151" s="129">
        <f>IF($F151&lt;&gt;"",'CHUNG TU'!B142,"")</f>
      </c>
      <c r="D151" s="129">
        <f>IF($F151&lt;&gt;"",'CHUNG TU'!F142,"")</f>
      </c>
      <c r="E151" s="129">
        <f>IF($F151&lt;&gt;"",'CHUNG TU'!H142,"")</f>
      </c>
      <c r="F151" s="130">
        <f>IF($F$7='CHUNG TU'!I142,'CHUNG TU'!J142,IF($F$7='CHUNG TU'!J142,'CHUNG TU'!I142,""))</f>
      </c>
      <c r="G151" s="130">
        <f>IF($F$7='CHUNG TU'!I142,'CHUNG TU'!$L142,0)</f>
        <v>0</v>
      </c>
      <c r="H151" s="130">
        <f>IF($F$7='CHUNG TU'!J142,'CHUNG TU'!$L142,0)</f>
        <v>0</v>
      </c>
      <c r="I151" s="130">
        <f>IF(G151+H151&lt;&gt;0,$I$10+SUM($G$14:G151)-SUM($H$14:H151),0)</f>
        <v>0</v>
      </c>
    </row>
    <row r="152" spans="2:9" ht="14.25">
      <c r="B152" s="129">
        <f>IF($F152&lt;&gt;"",'CHUNG TU'!A143,"")</f>
      </c>
      <c r="C152" s="129">
        <f>IF($F152&lt;&gt;"",'CHUNG TU'!B143,"")</f>
      </c>
      <c r="D152" s="129">
        <f>IF($F152&lt;&gt;"",'CHUNG TU'!F143,"")</f>
      </c>
      <c r="E152" s="129">
        <f>IF($F152&lt;&gt;"",'CHUNG TU'!H143,"")</f>
      </c>
      <c r="F152" s="130">
        <f>IF($F$7='CHUNG TU'!I143,'CHUNG TU'!J143,IF($F$7='CHUNG TU'!J143,'CHUNG TU'!I143,""))</f>
      </c>
      <c r="G152" s="130">
        <f>IF($F$7='CHUNG TU'!I143,'CHUNG TU'!$L143,0)</f>
        <v>0</v>
      </c>
      <c r="H152" s="130">
        <f>IF($F$7='CHUNG TU'!J143,'CHUNG TU'!$L143,0)</f>
        <v>0</v>
      </c>
      <c r="I152" s="130">
        <f>IF(G152+H152&lt;&gt;0,$I$10+SUM($G$14:G152)-SUM($H$14:H152),0)</f>
        <v>0</v>
      </c>
    </row>
    <row r="153" spans="2:9" ht="14.25">
      <c r="B153" s="129">
        <f>IF($F153&lt;&gt;"",'CHUNG TU'!A144,"")</f>
      </c>
      <c r="C153" s="129">
        <f>IF($F153&lt;&gt;"",'CHUNG TU'!B144,"")</f>
      </c>
      <c r="D153" s="129">
        <f>IF($F153&lt;&gt;"",'CHUNG TU'!F144,"")</f>
      </c>
      <c r="E153" s="129">
        <f>IF($F153&lt;&gt;"",'CHUNG TU'!H144,"")</f>
      </c>
      <c r="F153" s="130">
        <f>IF($F$7='CHUNG TU'!I144,'CHUNG TU'!J144,IF($F$7='CHUNG TU'!J144,'CHUNG TU'!I144,""))</f>
      </c>
      <c r="G153" s="130">
        <f>IF($F$7='CHUNG TU'!I144,'CHUNG TU'!$L144,0)</f>
        <v>0</v>
      </c>
      <c r="H153" s="130">
        <f>IF($F$7='CHUNG TU'!J144,'CHUNG TU'!$L144,0)</f>
        <v>0</v>
      </c>
      <c r="I153" s="130">
        <f>IF(G153+H153&lt;&gt;0,$I$10+SUM($G$14:G153)-SUM($H$14:H153),0)</f>
        <v>0</v>
      </c>
    </row>
    <row r="154" spans="2:9" ht="14.25">
      <c r="B154" s="129">
        <f>IF($F154&lt;&gt;"",'CHUNG TU'!A145,"")</f>
      </c>
      <c r="C154" s="129">
        <f>IF($F154&lt;&gt;"",'CHUNG TU'!B145,"")</f>
      </c>
      <c r="D154" s="129">
        <f>IF($F154&lt;&gt;"",'CHUNG TU'!F145,"")</f>
      </c>
      <c r="E154" s="129">
        <f>IF($F154&lt;&gt;"",'CHUNG TU'!H145,"")</f>
      </c>
      <c r="F154" s="130">
        <f>IF($F$7='CHUNG TU'!I145,'CHUNG TU'!J145,IF($F$7='CHUNG TU'!J145,'CHUNG TU'!I145,""))</f>
      </c>
      <c r="G154" s="130">
        <f>IF($F$7='CHUNG TU'!I145,'CHUNG TU'!$L145,0)</f>
        <v>0</v>
      </c>
      <c r="H154" s="130">
        <f>IF($F$7='CHUNG TU'!J145,'CHUNG TU'!$L145,0)</f>
        <v>0</v>
      </c>
      <c r="I154" s="130">
        <f>IF(G154+H154&lt;&gt;0,$I$10+SUM($G$14:G154)-SUM($H$14:H154),0)</f>
        <v>0</v>
      </c>
    </row>
    <row r="155" spans="2:9" ht="14.25">
      <c r="B155" s="129">
        <f>IF($F155&lt;&gt;"",'CHUNG TU'!A146,"")</f>
      </c>
      <c r="C155" s="129">
        <f>IF($F155&lt;&gt;"",'CHUNG TU'!B146,"")</f>
      </c>
      <c r="D155" s="129">
        <f>IF($F155&lt;&gt;"",'CHUNG TU'!F146,"")</f>
      </c>
      <c r="E155" s="129">
        <f>IF($F155&lt;&gt;"",'CHUNG TU'!H146,"")</f>
      </c>
      <c r="F155" s="130">
        <f>IF($F$7='CHUNG TU'!I146,'CHUNG TU'!J146,IF($F$7='CHUNG TU'!J146,'CHUNG TU'!I146,""))</f>
      </c>
      <c r="G155" s="130">
        <f>IF($F$7='CHUNG TU'!I146,'CHUNG TU'!$L146,0)</f>
        <v>0</v>
      </c>
      <c r="H155" s="130">
        <f>IF($F$7='CHUNG TU'!J146,'CHUNG TU'!$L146,0)</f>
        <v>0</v>
      </c>
      <c r="I155" s="130">
        <f>IF(G155+H155&lt;&gt;0,$I$10+SUM($G$14:G155)-SUM($H$14:H155),0)</f>
        <v>0</v>
      </c>
    </row>
    <row r="156" spans="2:9" ht="14.25">
      <c r="B156" s="129">
        <f>IF($F156&lt;&gt;"",'CHUNG TU'!A147,"")</f>
      </c>
      <c r="C156" s="129">
        <f>IF($F156&lt;&gt;"",'CHUNG TU'!B147,"")</f>
      </c>
      <c r="D156" s="129">
        <f>IF($F156&lt;&gt;"",'CHUNG TU'!F147,"")</f>
      </c>
      <c r="E156" s="129">
        <f>IF($F156&lt;&gt;"",'CHUNG TU'!H147,"")</f>
      </c>
      <c r="F156" s="130">
        <f>IF($F$7='CHUNG TU'!I147,'CHUNG TU'!J147,IF($F$7='CHUNG TU'!J147,'CHUNG TU'!I147,""))</f>
      </c>
      <c r="G156" s="130">
        <f>IF($F$7='CHUNG TU'!I147,'CHUNG TU'!$L147,0)</f>
        <v>0</v>
      </c>
      <c r="H156" s="130">
        <f>IF($F$7='CHUNG TU'!J147,'CHUNG TU'!$L147,0)</f>
        <v>0</v>
      </c>
      <c r="I156" s="130">
        <f>IF(G156+H156&lt;&gt;0,$I$10+SUM($G$14:G156)-SUM($H$14:H156),0)</f>
        <v>0</v>
      </c>
    </row>
    <row r="157" spans="2:9" ht="14.25">
      <c r="B157" s="129">
        <f>IF($F157&lt;&gt;"",'CHUNG TU'!A148,"")</f>
      </c>
      <c r="C157" s="129">
        <f>IF($F157&lt;&gt;"",'CHUNG TU'!B148,"")</f>
      </c>
      <c r="D157" s="129">
        <f>IF($F157&lt;&gt;"",'CHUNG TU'!F148,"")</f>
      </c>
      <c r="E157" s="129">
        <f>IF($F157&lt;&gt;"",'CHUNG TU'!H148,"")</f>
      </c>
      <c r="F157" s="130">
        <f>IF($F$7='CHUNG TU'!I148,'CHUNG TU'!J148,IF($F$7='CHUNG TU'!J148,'CHUNG TU'!I148,""))</f>
      </c>
      <c r="G157" s="130">
        <f>IF($F$7='CHUNG TU'!I148,'CHUNG TU'!$L148,0)</f>
        <v>0</v>
      </c>
      <c r="H157" s="130">
        <f>IF($F$7='CHUNG TU'!J148,'CHUNG TU'!$L148,0)</f>
        <v>0</v>
      </c>
      <c r="I157" s="130">
        <f>IF(G157+H157&lt;&gt;0,$I$10+SUM($G$14:G157)-SUM($H$14:H157),0)</f>
        <v>0</v>
      </c>
    </row>
    <row r="158" spans="2:9" ht="14.25">
      <c r="B158" s="129">
        <f>IF($F158&lt;&gt;"",'CHUNG TU'!A149,"")</f>
      </c>
      <c r="C158" s="129">
        <f>IF($F158&lt;&gt;"",'CHUNG TU'!B149,"")</f>
      </c>
      <c r="D158" s="129">
        <f>IF($F158&lt;&gt;"",'CHUNG TU'!F149,"")</f>
      </c>
      <c r="E158" s="129">
        <f>IF($F158&lt;&gt;"",'CHUNG TU'!H149,"")</f>
      </c>
      <c r="F158" s="130">
        <f>IF($F$7='CHUNG TU'!I149,'CHUNG TU'!J149,IF($F$7='CHUNG TU'!J149,'CHUNG TU'!I149,""))</f>
      </c>
      <c r="G158" s="130">
        <f>IF($F$7='CHUNG TU'!I149,'CHUNG TU'!$L149,0)</f>
        <v>0</v>
      </c>
      <c r="H158" s="130">
        <f>IF($F$7='CHUNG TU'!J149,'CHUNG TU'!$L149,0)</f>
        <v>0</v>
      </c>
      <c r="I158" s="130">
        <f>IF(G158+H158&lt;&gt;0,$I$10+SUM($G$14:G158)-SUM($H$14:H158),0)</f>
        <v>0</v>
      </c>
    </row>
    <row r="159" spans="2:9" ht="14.25">
      <c r="B159" s="129">
        <f>IF($F159&lt;&gt;"",'CHUNG TU'!A150,"")</f>
      </c>
      <c r="C159" s="129">
        <f>IF($F159&lt;&gt;"",'CHUNG TU'!B150,"")</f>
      </c>
      <c r="D159" s="129">
        <f>IF($F159&lt;&gt;"",'CHUNG TU'!F150,"")</f>
      </c>
      <c r="E159" s="129">
        <f>IF($F159&lt;&gt;"",'CHUNG TU'!H150,"")</f>
      </c>
      <c r="F159" s="130">
        <f>IF($F$7='CHUNG TU'!I150,'CHUNG TU'!J150,IF($F$7='CHUNG TU'!J150,'CHUNG TU'!I150,""))</f>
      </c>
      <c r="G159" s="130">
        <f>IF($F$7='CHUNG TU'!I150,'CHUNG TU'!$L150,0)</f>
        <v>0</v>
      </c>
      <c r="H159" s="130">
        <f>IF($F$7='CHUNG TU'!J150,'CHUNG TU'!$L150,0)</f>
        <v>0</v>
      </c>
      <c r="I159" s="130">
        <f>IF(G159+H159&lt;&gt;0,$I$10+SUM($G$14:G159)-SUM($H$14:H159),0)</f>
        <v>0</v>
      </c>
    </row>
    <row r="160" spans="2:9" ht="14.25">
      <c r="B160" s="129">
        <f>IF($F160&lt;&gt;"",'CHUNG TU'!A151,"")</f>
      </c>
      <c r="C160" s="129">
        <f>IF($F160&lt;&gt;"",'CHUNG TU'!B151,"")</f>
      </c>
      <c r="D160" s="129">
        <f>IF($F160&lt;&gt;"",'CHUNG TU'!F151,"")</f>
      </c>
      <c r="E160" s="129">
        <f>IF($F160&lt;&gt;"",'CHUNG TU'!H151,"")</f>
      </c>
      <c r="F160" s="130">
        <f>IF($F$7='CHUNG TU'!I151,'CHUNG TU'!J151,IF($F$7='CHUNG TU'!J151,'CHUNG TU'!I151,""))</f>
      </c>
      <c r="G160" s="130">
        <f>IF($F$7='CHUNG TU'!I151,'CHUNG TU'!$L151,0)</f>
        <v>0</v>
      </c>
      <c r="H160" s="130">
        <f>IF($F$7='CHUNG TU'!J151,'CHUNG TU'!$L151,0)</f>
        <v>0</v>
      </c>
      <c r="I160" s="130">
        <f>IF(G160+H160&lt;&gt;0,$I$10+SUM($G$14:G160)-SUM($H$14:H160),0)</f>
        <v>0</v>
      </c>
    </row>
    <row r="161" spans="2:9" ht="14.25">
      <c r="B161" s="129">
        <f>IF($F161&lt;&gt;"",'CHUNG TU'!A152,"")</f>
      </c>
      <c r="C161" s="129">
        <f>IF($F161&lt;&gt;"",'CHUNG TU'!B152,"")</f>
      </c>
      <c r="D161" s="129">
        <f>IF($F161&lt;&gt;"",'CHUNG TU'!F152,"")</f>
      </c>
      <c r="E161" s="129">
        <f>IF($F161&lt;&gt;"",'CHUNG TU'!H152,"")</f>
      </c>
      <c r="F161" s="130">
        <f>IF($F$7='CHUNG TU'!I152,'CHUNG TU'!J152,IF($F$7='CHUNG TU'!J152,'CHUNG TU'!I152,""))</f>
      </c>
      <c r="G161" s="130">
        <f>IF($F$7='CHUNG TU'!I152,'CHUNG TU'!$L152,0)</f>
        <v>0</v>
      </c>
      <c r="H161" s="130">
        <f>IF($F$7='CHUNG TU'!J152,'CHUNG TU'!$L152,0)</f>
        <v>0</v>
      </c>
      <c r="I161" s="130">
        <f>IF(G161+H161&lt;&gt;0,$I$10+SUM($G$14:G161)-SUM($H$14:H161),0)</f>
        <v>0</v>
      </c>
    </row>
    <row r="162" spans="2:9" ht="14.25">
      <c r="B162" s="129">
        <f>IF($F162&lt;&gt;"",'CHUNG TU'!A153,"")</f>
      </c>
      <c r="C162" s="129">
        <f>IF($F162&lt;&gt;"",'CHUNG TU'!B153,"")</f>
      </c>
      <c r="D162" s="129">
        <f>IF($F162&lt;&gt;"",'CHUNG TU'!F153,"")</f>
      </c>
      <c r="E162" s="129">
        <f>IF($F162&lt;&gt;"",'CHUNG TU'!H153,"")</f>
      </c>
      <c r="F162" s="130">
        <f>IF($F$7='CHUNG TU'!I153,'CHUNG TU'!J153,IF($F$7='CHUNG TU'!J153,'CHUNG TU'!I153,""))</f>
      </c>
      <c r="G162" s="130">
        <f>IF($F$7='CHUNG TU'!I153,'CHUNG TU'!$L153,0)</f>
        <v>0</v>
      </c>
      <c r="H162" s="130">
        <f>IF($F$7='CHUNG TU'!J153,'CHUNG TU'!$L153,0)</f>
        <v>0</v>
      </c>
      <c r="I162" s="130">
        <f>IF(G162+H162&lt;&gt;0,$I$10+SUM($G$14:G162)-SUM($H$14:H162),0)</f>
        <v>0</v>
      </c>
    </row>
    <row r="163" spans="2:9" ht="14.25">
      <c r="B163" s="129">
        <f>IF($F163&lt;&gt;"",'CHUNG TU'!A154,"")</f>
      </c>
      <c r="C163" s="129">
        <f>IF($F163&lt;&gt;"",'CHUNG TU'!B154,"")</f>
      </c>
      <c r="D163" s="129">
        <f>IF($F163&lt;&gt;"",'CHUNG TU'!F154,"")</f>
      </c>
      <c r="E163" s="129">
        <f>IF($F163&lt;&gt;"",'CHUNG TU'!H154,"")</f>
      </c>
      <c r="F163" s="130">
        <f>IF($F$7='CHUNG TU'!I154,'CHUNG TU'!J154,IF($F$7='CHUNG TU'!J154,'CHUNG TU'!I154,""))</f>
      </c>
      <c r="G163" s="130">
        <f>IF($F$7='CHUNG TU'!I154,'CHUNG TU'!$L154,0)</f>
        <v>0</v>
      </c>
      <c r="H163" s="130">
        <f>IF($F$7='CHUNG TU'!J154,'CHUNG TU'!$L154,0)</f>
        <v>0</v>
      </c>
      <c r="I163" s="130">
        <f>IF(G163+H163&lt;&gt;0,$I$10+SUM($G$14:G163)-SUM($H$14:H163),0)</f>
        <v>0</v>
      </c>
    </row>
    <row r="164" spans="2:9" ht="14.25">
      <c r="B164" s="129">
        <f>IF($F164&lt;&gt;"",'CHUNG TU'!A155,"")</f>
      </c>
      <c r="C164" s="129">
        <f>IF($F164&lt;&gt;"",'CHUNG TU'!B155,"")</f>
      </c>
      <c r="D164" s="129">
        <f>IF($F164&lt;&gt;"",'CHUNG TU'!F155,"")</f>
      </c>
      <c r="E164" s="129">
        <f>IF($F164&lt;&gt;"",'CHUNG TU'!H155,"")</f>
      </c>
      <c r="F164" s="130">
        <f>IF($F$7='CHUNG TU'!I155,'CHUNG TU'!J155,IF($F$7='CHUNG TU'!J155,'CHUNG TU'!I155,""))</f>
      </c>
      <c r="G164" s="130">
        <f>IF($F$7='CHUNG TU'!I155,'CHUNG TU'!$L155,0)</f>
        <v>0</v>
      </c>
      <c r="H164" s="130">
        <f>IF($F$7='CHUNG TU'!J155,'CHUNG TU'!$L155,0)</f>
        <v>0</v>
      </c>
      <c r="I164" s="130">
        <f>IF(G164+H164&lt;&gt;0,$I$10+SUM($G$14:G164)-SUM($H$14:H164),0)</f>
        <v>0</v>
      </c>
    </row>
    <row r="165" spans="2:9" ht="14.25">
      <c r="B165" s="129">
        <f>IF($F165&lt;&gt;"",'CHUNG TU'!A156,"")</f>
      </c>
      <c r="C165" s="129">
        <f>IF($F165&lt;&gt;"",'CHUNG TU'!B156,"")</f>
      </c>
      <c r="D165" s="129">
        <f>IF($F165&lt;&gt;"",'CHUNG TU'!F156,"")</f>
      </c>
      <c r="E165" s="129">
        <f>IF($F165&lt;&gt;"",'CHUNG TU'!H156,"")</f>
      </c>
      <c r="F165" s="130">
        <f>IF($F$7='CHUNG TU'!I156,'CHUNG TU'!J156,IF($F$7='CHUNG TU'!J156,'CHUNG TU'!I156,""))</f>
      </c>
      <c r="G165" s="130">
        <f>IF($F$7='CHUNG TU'!I156,'CHUNG TU'!$L156,0)</f>
        <v>0</v>
      </c>
      <c r="H165" s="130">
        <f>IF($F$7='CHUNG TU'!J156,'CHUNG TU'!$L156,0)</f>
        <v>0</v>
      </c>
      <c r="I165" s="130">
        <f>IF(G165+H165&lt;&gt;0,$I$10+SUM($G$14:G165)-SUM($H$14:H165),0)</f>
        <v>0</v>
      </c>
    </row>
    <row r="166" spans="2:9" ht="14.25">
      <c r="B166" s="129">
        <f>IF($F166&lt;&gt;"",'CHUNG TU'!A157,"")</f>
      </c>
      <c r="C166" s="129">
        <f>IF($F166&lt;&gt;"",'CHUNG TU'!B157,"")</f>
      </c>
      <c r="D166" s="129">
        <f>IF($F166&lt;&gt;"",'CHUNG TU'!F157,"")</f>
      </c>
      <c r="E166" s="129">
        <f>IF($F166&lt;&gt;"",'CHUNG TU'!H157,"")</f>
      </c>
      <c r="F166" s="130">
        <f>IF($F$7='CHUNG TU'!I157,'CHUNG TU'!J157,IF($F$7='CHUNG TU'!J157,'CHUNG TU'!I157,""))</f>
      </c>
      <c r="G166" s="130">
        <f>IF($F$7='CHUNG TU'!I157,'CHUNG TU'!$L157,0)</f>
        <v>0</v>
      </c>
      <c r="H166" s="130">
        <f>IF($F$7='CHUNG TU'!J157,'CHUNG TU'!$L157,0)</f>
        <v>0</v>
      </c>
      <c r="I166" s="130">
        <f>IF(G166+H166&lt;&gt;0,$I$10+SUM($G$14:G166)-SUM($H$14:H166),0)</f>
        <v>0</v>
      </c>
    </row>
    <row r="167" spans="2:9" ht="14.25">
      <c r="B167" s="129">
        <f>IF($F167&lt;&gt;"",'CHUNG TU'!A158,"")</f>
      </c>
      <c r="C167" s="129">
        <f>IF($F167&lt;&gt;"",'CHUNG TU'!B158,"")</f>
      </c>
      <c r="D167" s="129">
        <f>IF($F167&lt;&gt;"",'CHUNG TU'!F158,"")</f>
      </c>
      <c r="E167" s="129">
        <f>IF($F167&lt;&gt;"",'CHUNG TU'!H158,"")</f>
      </c>
      <c r="F167" s="130">
        <f>IF($F$7='CHUNG TU'!I158,'CHUNG TU'!J158,IF($F$7='CHUNG TU'!J158,'CHUNG TU'!I158,""))</f>
      </c>
      <c r="G167" s="130">
        <f>IF($F$7='CHUNG TU'!I158,'CHUNG TU'!$L158,0)</f>
        <v>0</v>
      </c>
      <c r="H167" s="130">
        <f>IF($F$7='CHUNG TU'!J158,'CHUNG TU'!$L158,0)</f>
        <v>0</v>
      </c>
      <c r="I167" s="130">
        <f>IF(G167+H167&lt;&gt;0,$I$10+SUM($G$14:G167)-SUM($H$14:H167),0)</f>
        <v>0</v>
      </c>
    </row>
    <row r="168" spans="2:9" ht="14.25">
      <c r="B168" s="129">
        <f>IF($F168&lt;&gt;"",'CHUNG TU'!A159,"")</f>
      </c>
      <c r="C168" s="129">
        <f>IF($F168&lt;&gt;"",'CHUNG TU'!B159,"")</f>
      </c>
      <c r="D168" s="129">
        <f>IF($F168&lt;&gt;"",'CHUNG TU'!F159,"")</f>
      </c>
      <c r="E168" s="129">
        <f>IF($F168&lt;&gt;"",'CHUNG TU'!H159,"")</f>
      </c>
      <c r="F168" s="130">
        <f>IF($F$7='CHUNG TU'!I159,'CHUNG TU'!J159,IF($F$7='CHUNG TU'!J159,'CHUNG TU'!I159,""))</f>
      </c>
      <c r="G168" s="130">
        <f>IF($F$7='CHUNG TU'!I159,'CHUNG TU'!$L159,0)</f>
        <v>0</v>
      </c>
      <c r="H168" s="130">
        <f>IF($F$7='CHUNG TU'!J159,'CHUNG TU'!$L159,0)</f>
        <v>0</v>
      </c>
      <c r="I168" s="130">
        <f>IF(G168+H168&lt;&gt;0,$I$10+SUM($G$14:G168)-SUM($H$14:H168),0)</f>
        <v>0</v>
      </c>
    </row>
    <row r="169" spans="2:9" ht="14.25">
      <c r="B169" s="129" t="str">
        <f>IF($F169&lt;&gt;"",'CHUNG TU'!A160,"")</f>
        <v>29/10/2020</v>
      </c>
      <c r="C169" s="129" t="str">
        <f>IF($F169&lt;&gt;"",'CHUNG TU'!B160,"")</f>
        <v>PT10/014</v>
      </c>
      <c r="D169" s="129" t="str">
        <f>IF($F169&lt;&gt;"",'CHUNG TU'!F160,"")</f>
        <v>29/10/2020</v>
      </c>
      <c r="E169" s="129" t="str">
        <f>IF($F169&lt;&gt;"",'CHUNG TU'!H160,"")</f>
        <v>Phế liệu thu hồi tại SX SP F01, bán thu tiền mặt</v>
      </c>
      <c r="F169" s="130" t="str">
        <f>IF($F$7='CHUNG TU'!I160,'CHUNG TU'!J160,IF($F$7='CHUNG TU'!J160,'CHUNG TU'!I160,""))</f>
        <v>154.PX1.F01</v>
      </c>
      <c r="G169" s="130">
        <f>IF($F$7='CHUNG TU'!I160,'CHUNG TU'!$L160,0)</f>
        <v>2000000</v>
      </c>
      <c r="H169" s="130">
        <f>IF($F$7='CHUNG TU'!J160,'CHUNG TU'!$L160,0)</f>
        <v>0</v>
      </c>
      <c r="I169" s="130">
        <f>IF(G169+H169&lt;&gt;0,$I$10+SUM($G$14:G169)-SUM($H$14:H169),0)</f>
        <v>39634600</v>
      </c>
    </row>
    <row r="170" spans="2:9" ht="14.25">
      <c r="B170" s="129">
        <f>IF($F170&lt;&gt;"",'CHUNG TU'!A161,"")</f>
      </c>
      <c r="C170" s="129">
        <f>IF($F170&lt;&gt;"",'CHUNG TU'!B161,"")</f>
      </c>
      <c r="D170" s="129">
        <f>IF($F170&lt;&gt;"",'CHUNG TU'!F161,"")</f>
      </c>
      <c r="E170" s="129">
        <f>IF($F170&lt;&gt;"",'CHUNG TU'!H161,"")</f>
      </c>
      <c r="F170" s="130">
        <f>IF($F$7='CHUNG TU'!I161,'CHUNG TU'!J161,IF($F$7='CHUNG TU'!J161,'CHUNG TU'!I161,""))</f>
      </c>
      <c r="G170" s="130">
        <f>IF($F$7='CHUNG TU'!I161,'CHUNG TU'!$L161,0)</f>
        <v>0</v>
      </c>
      <c r="H170" s="130">
        <f>IF($F$7='CHUNG TU'!J161,'CHUNG TU'!$L161,0)</f>
        <v>0</v>
      </c>
      <c r="I170" s="130">
        <f>IF(G170+H170&lt;&gt;0,$I$10+SUM($G$14:G170)-SUM($H$14:H170),0)</f>
        <v>0</v>
      </c>
    </row>
    <row r="171" spans="2:9" ht="14.25">
      <c r="B171" s="129">
        <f>IF($F171&lt;&gt;"",'CHUNG TU'!A162,"")</f>
      </c>
      <c r="C171" s="129">
        <f>IF($F171&lt;&gt;"",'CHUNG TU'!B162,"")</f>
      </c>
      <c r="D171" s="129">
        <f>IF($F171&lt;&gt;"",'CHUNG TU'!F162,"")</f>
      </c>
      <c r="E171" s="129">
        <f>IF($F171&lt;&gt;"",'CHUNG TU'!H162,"")</f>
      </c>
      <c r="F171" s="130">
        <f>IF($F$7='CHUNG TU'!I162,'CHUNG TU'!J162,IF($F$7='CHUNG TU'!J162,'CHUNG TU'!I162,""))</f>
      </c>
      <c r="G171" s="130">
        <f>IF($F$7='CHUNG TU'!I162,'CHUNG TU'!$L162,0)</f>
        <v>0</v>
      </c>
      <c r="H171" s="130">
        <f>IF($F$7='CHUNG TU'!J162,'CHUNG TU'!$L162,0)</f>
        <v>0</v>
      </c>
      <c r="I171" s="130">
        <f>IF(G171+H171&lt;&gt;0,$I$10+SUM($G$14:G171)-SUM($H$14:H171),0)</f>
        <v>0</v>
      </c>
    </row>
    <row r="172" spans="2:9" ht="14.25">
      <c r="B172" s="129">
        <f>IF($F172&lt;&gt;"",'CHUNG TU'!A163,"")</f>
      </c>
      <c r="C172" s="129">
        <f>IF($F172&lt;&gt;"",'CHUNG TU'!B163,"")</f>
      </c>
      <c r="D172" s="129">
        <f>IF($F172&lt;&gt;"",'CHUNG TU'!F163,"")</f>
      </c>
      <c r="E172" s="129">
        <f>IF($F172&lt;&gt;"",'CHUNG TU'!H163,"")</f>
      </c>
      <c r="F172" s="130">
        <f>IF($F$7='CHUNG TU'!I163,'CHUNG TU'!J163,IF($F$7='CHUNG TU'!J163,'CHUNG TU'!I163,""))</f>
      </c>
      <c r="G172" s="130">
        <f>IF($F$7='CHUNG TU'!I163,'CHUNG TU'!$L163,0)</f>
        <v>0</v>
      </c>
      <c r="H172" s="130">
        <f>IF($F$7='CHUNG TU'!J163,'CHUNG TU'!$L163,0)</f>
        <v>0</v>
      </c>
      <c r="I172" s="130">
        <f>IF(G172+H172&lt;&gt;0,$I$10+SUM($G$14:G172)-SUM($H$14:H172),0)</f>
        <v>0</v>
      </c>
    </row>
    <row r="173" spans="2:9" ht="14.25">
      <c r="B173" s="129">
        <f>IF($F173&lt;&gt;"",'CHUNG TU'!A164,"")</f>
      </c>
      <c r="C173" s="129">
        <f>IF($F173&lt;&gt;"",'CHUNG TU'!B164,"")</f>
      </c>
      <c r="D173" s="129">
        <f>IF($F173&lt;&gt;"",'CHUNG TU'!F164,"")</f>
      </c>
      <c r="E173" s="129">
        <f>IF($F173&lt;&gt;"",'CHUNG TU'!H164,"")</f>
      </c>
      <c r="F173" s="130">
        <f>IF($F$7='CHUNG TU'!I164,'CHUNG TU'!J164,IF($F$7='CHUNG TU'!J164,'CHUNG TU'!I164,""))</f>
      </c>
      <c r="G173" s="130">
        <f>IF($F$7='CHUNG TU'!I164,'CHUNG TU'!$L164,0)</f>
        <v>0</v>
      </c>
      <c r="H173" s="130">
        <f>IF($F$7='CHUNG TU'!J164,'CHUNG TU'!$L164,0)</f>
        <v>0</v>
      </c>
      <c r="I173" s="130">
        <f>IF(G173+H173&lt;&gt;0,$I$10+SUM($G$14:G173)-SUM($H$14:H173),0)</f>
        <v>0</v>
      </c>
    </row>
    <row r="174" spans="2:9" ht="14.25">
      <c r="B174" s="129">
        <f>IF($F174&lt;&gt;"",'CHUNG TU'!A165,"")</f>
      </c>
      <c r="C174" s="129">
        <f>IF($F174&lt;&gt;"",'CHUNG TU'!B165,"")</f>
      </c>
      <c r="D174" s="129">
        <f>IF($F174&lt;&gt;"",'CHUNG TU'!F165,"")</f>
      </c>
      <c r="E174" s="129">
        <f>IF($F174&lt;&gt;"",'CHUNG TU'!H165,"")</f>
      </c>
      <c r="F174" s="130">
        <f>IF($F$7='CHUNG TU'!I165,'CHUNG TU'!J165,IF($F$7='CHUNG TU'!J165,'CHUNG TU'!I165,""))</f>
      </c>
      <c r="G174" s="130">
        <f>IF($F$7='CHUNG TU'!I165,'CHUNG TU'!$L165,0)</f>
        <v>0</v>
      </c>
      <c r="H174" s="130">
        <f>IF($F$7='CHUNG TU'!J165,'CHUNG TU'!$L165,0)</f>
        <v>0</v>
      </c>
      <c r="I174" s="130">
        <f>IF(G174+H174&lt;&gt;0,$I$10+SUM($G$14:G174)-SUM($H$14:H174),0)</f>
        <v>0</v>
      </c>
    </row>
    <row r="175" spans="2:9" ht="14.25">
      <c r="B175" s="129">
        <f>IF($F175&lt;&gt;"",'CHUNG TU'!A166,"")</f>
      </c>
      <c r="C175" s="129">
        <f>IF($F175&lt;&gt;"",'CHUNG TU'!B166,"")</f>
      </c>
      <c r="D175" s="129">
        <f>IF($F175&lt;&gt;"",'CHUNG TU'!F166,"")</f>
      </c>
      <c r="E175" s="129">
        <f>IF($F175&lt;&gt;"",'CHUNG TU'!H166,"")</f>
      </c>
      <c r="F175" s="130">
        <f>IF($F$7='CHUNG TU'!I166,'CHUNG TU'!J166,IF($F$7='CHUNG TU'!J166,'CHUNG TU'!I166,""))</f>
      </c>
      <c r="G175" s="130">
        <f>IF($F$7='CHUNG TU'!I166,'CHUNG TU'!$L166,0)</f>
        <v>0</v>
      </c>
      <c r="H175" s="130">
        <f>IF($F$7='CHUNG TU'!J166,'CHUNG TU'!$L166,0)</f>
        <v>0</v>
      </c>
      <c r="I175" s="130">
        <f>IF(G175+H175&lt;&gt;0,$I$10+SUM($G$14:G175)-SUM($H$14:H175),0)</f>
        <v>0</v>
      </c>
    </row>
    <row r="176" spans="2:9" ht="14.25">
      <c r="B176" s="129">
        <f>IF($F176&lt;&gt;"",'CHUNG TU'!A167,"")</f>
      </c>
      <c r="C176" s="129">
        <f>IF($F176&lt;&gt;"",'CHUNG TU'!B167,"")</f>
      </c>
      <c r="D176" s="129">
        <f>IF($F176&lt;&gt;"",'CHUNG TU'!F167,"")</f>
      </c>
      <c r="E176" s="129">
        <f>IF($F176&lt;&gt;"",'CHUNG TU'!H167,"")</f>
      </c>
      <c r="F176" s="130">
        <f>IF($F$7='CHUNG TU'!I167,'CHUNG TU'!J167,IF($F$7='CHUNG TU'!J167,'CHUNG TU'!I167,""))</f>
      </c>
      <c r="G176" s="130">
        <f>IF($F$7='CHUNG TU'!I167,'CHUNG TU'!$L167,0)</f>
        <v>0</v>
      </c>
      <c r="H176" s="130">
        <f>IF($F$7='CHUNG TU'!J167,'CHUNG TU'!$L167,0)</f>
        <v>0</v>
      </c>
      <c r="I176" s="130">
        <f>IF(G176+H176&lt;&gt;0,$I$10+SUM($G$14:G176)-SUM($H$14:H176),0)</f>
        <v>0</v>
      </c>
    </row>
    <row r="177" spans="2:9" ht="14.25">
      <c r="B177" s="129">
        <f>IF($F177&lt;&gt;"",'CHUNG TU'!A168,"")</f>
      </c>
      <c r="C177" s="129">
        <f>IF($F177&lt;&gt;"",'CHUNG TU'!B168,"")</f>
      </c>
      <c r="D177" s="129">
        <f>IF($F177&lt;&gt;"",'CHUNG TU'!F168,"")</f>
      </c>
      <c r="E177" s="129">
        <f>IF($F177&lt;&gt;"",'CHUNG TU'!H168,"")</f>
      </c>
      <c r="F177" s="130">
        <f>IF($F$7='CHUNG TU'!I168,'CHUNG TU'!J168,IF($F$7='CHUNG TU'!J168,'CHUNG TU'!I168,""))</f>
      </c>
      <c r="G177" s="130">
        <f>IF($F$7='CHUNG TU'!I168,'CHUNG TU'!$L168,0)</f>
        <v>0</v>
      </c>
      <c r="H177" s="130">
        <f>IF($F$7='CHUNG TU'!J168,'CHUNG TU'!$L168,0)</f>
        <v>0</v>
      </c>
      <c r="I177" s="130">
        <f>IF(G177+H177&lt;&gt;0,$I$10+SUM($G$14:G177)-SUM($H$14:H177),0)</f>
        <v>0</v>
      </c>
    </row>
    <row r="178" spans="2:9" ht="14.25">
      <c r="B178" s="129">
        <f>IF($F178&lt;&gt;"",'CHUNG TU'!A169,"")</f>
      </c>
      <c r="C178" s="129">
        <f>IF($F178&lt;&gt;"",'CHUNG TU'!B169,"")</f>
      </c>
      <c r="D178" s="129">
        <f>IF($F178&lt;&gt;"",'CHUNG TU'!F169,"")</f>
      </c>
      <c r="E178" s="129">
        <f>IF($F178&lt;&gt;"",'CHUNG TU'!H169,"")</f>
      </c>
      <c r="F178" s="130">
        <f>IF($F$7='CHUNG TU'!I169,'CHUNG TU'!J169,IF($F$7='CHUNG TU'!J169,'CHUNG TU'!I169,""))</f>
      </c>
      <c r="G178" s="130">
        <f>IF($F$7='CHUNG TU'!I169,'CHUNG TU'!$L169,0)</f>
        <v>0</v>
      </c>
      <c r="H178" s="130">
        <f>IF($F$7='CHUNG TU'!J169,'CHUNG TU'!$L169,0)</f>
        <v>0</v>
      </c>
      <c r="I178" s="130">
        <f>IF(G178+H178&lt;&gt;0,$I$10+SUM($G$14:G178)-SUM($H$14:H178),0)</f>
        <v>0</v>
      </c>
    </row>
    <row r="179" spans="2:9" ht="14.25">
      <c r="B179" s="129">
        <f>IF($F179&lt;&gt;"",'CHUNG TU'!A170,"")</f>
      </c>
      <c r="C179" s="129">
        <f>IF($F179&lt;&gt;"",'CHUNG TU'!B170,"")</f>
      </c>
      <c r="D179" s="129">
        <f>IF($F179&lt;&gt;"",'CHUNG TU'!F170,"")</f>
      </c>
      <c r="E179" s="129">
        <f>IF($F179&lt;&gt;"",'CHUNG TU'!H170,"")</f>
      </c>
      <c r="F179" s="130">
        <f>IF($F$7='CHUNG TU'!I170,'CHUNG TU'!J170,IF($F$7='CHUNG TU'!J170,'CHUNG TU'!I170,""))</f>
      </c>
      <c r="G179" s="130">
        <f>IF($F$7='CHUNG TU'!I170,'CHUNG TU'!$L170,0)</f>
        <v>0</v>
      </c>
      <c r="H179" s="130">
        <f>IF($F$7='CHUNG TU'!J170,'CHUNG TU'!$L170,0)</f>
        <v>0</v>
      </c>
      <c r="I179" s="130">
        <f>IF(G179+H179&lt;&gt;0,$I$10+SUM($G$14:G179)-SUM($H$14:H179),0)</f>
        <v>0</v>
      </c>
    </row>
    <row r="180" spans="2:9" ht="14.25">
      <c r="B180" s="129">
        <f>IF($F180&lt;&gt;"",'CHUNG TU'!A171,"")</f>
      </c>
      <c r="C180" s="129">
        <f>IF($F180&lt;&gt;"",'CHUNG TU'!B171,"")</f>
      </c>
      <c r="D180" s="129">
        <f>IF($F180&lt;&gt;"",'CHUNG TU'!F171,"")</f>
      </c>
      <c r="E180" s="129">
        <f>IF($F180&lt;&gt;"",'CHUNG TU'!H171,"")</f>
      </c>
      <c r="F180" s="130">
        <f>IF($F$7='CHUNG TU'!I171,'CHUNG TU'!J171,IF($F$7='CHUNG TU'!J171,'CHUNG TU'!I171,""))</f>
      </c>
      <c r="G180" s="130">
        <f>IF($F$7='CHUNG TU'!I171,'CHUNG TU'!$L171,0)</f>
        <v>0</v>
      </c>
      <c r="H180" s="130">
        <f>IF($F$7='CHUNG TU'!J171,'CHUNG TU'!$L171,0)</f>
        <v>0</v>
      </c>
      <c r="I180" s="130">
        <f>IF(G180+H180&lt;&gt;0,$I$10+SUM($G$14:G180)-SUM($H$14:H180),0)</f>
        <v>0</v>
      </c>
    </row>
    <row r="181" spans="2:9" ht="14.25">
      <c r="B181" s="129">
        <f>IF($F181&lt;&gt;"",'CHUNG TU'!A172,"")</f>
      </c>
      <c r="C181" s="129">
        <f>IF($F181&lt;&gt;"",'CHUNG TU'!B172,"")</f>
      </c>
      <c r="D181" s="129">
        <f>IF($F181&lt;&gt;"",'CHUNG TU'!F172,"")</f>
      </c>
      <c r="E181" s="129">
        <f>IF($F181&lt;&gt;"",'CHUNG TU'!H172,"")</f>
      </c>
      <c r="F181" s="130">
        <f>IF($F$7='CHUNG TU'!I172,'CHUNG TU'!J172,IF($F$7='CHUNG TU'!J172,'CHUNG TU'!I172,""))</f>
      </c>
      <c r="G181" s="130">
        <f>IF($F$7='CHUNG TU'!I172,'CHUNG TU'!$L172,0)</f>
        <v>0</v>
      </c>
      <c r="H181" s="130">
        <f>IF($F$7='CHUNG TU'!J172,'CHUNG TU'!$L172,0)</f>
        <v>0</v>
      </c>
      <c r="I181" s="130">
        <f>IF(G181+H181&lt;&gt;0,$I$10+SUM($G$14:G181)-SUM($H$14:H181),0)</f>
        <v>0</v>
      </c>
    </row>
    <row r="182" spans="2:9" ht="14.25">
      <c r="B182" s="129">
        <f>IF($F182&lt;&gt;"",'CHUNG TU'!A173,"")</f>
      </c>
      <c r="C182" s="129">
        <f>IF($F182&lt;&gt;"",'CHUNG TU'!B173,"")</f>
      </c>
      <c r="D182" s="129">
        <f>IF($F182&lt;&gt;"",'CHUNG TU'!F173,"")</f>
      </c>
      <c r="E182" s="129">
        <f>IF($F182&lt;&gt;"",'CHUNG TU'!H173,"")</f>
      </c>
      <c r="F182" s="130">
        <f>IF($F$7='CHUNG TU'!I173,'CHUNG TU'!J173,IF($F$7='CHUNG TU'!J173,'CHUNG TU'!I173,""))</f>
      </c>
      <c r="G182" s="130">
        <f>IF($F$7='CHUNG TU'!I173,'CHUNG TU'!$L173,0)</f>
        <v>0</v>
      </c>
      <c r="H182" s="130">
        <f>IF($F$7='CHUNG TU'!J173,'CHUNG TU'!$L173,0)</f>
        <v>0</v>
      </c>
      <c r="I182" s="130">
        <f>IF(G182+H182&lt;&gt;0,$I$10+SUM($G$14:G182)-SUM($H$14:H182),0)</f>
        <v>0</v>
      </c>
    </row>
    <row r="183" spans="2:9" ht="14.25">
      <c r="B183" s="129">
        <f>IF($F183&lt;&gt;"",'CHUNG TU'!A174,"")</f>
      </c>
      <c r="C183" s="129">
        <f>IF($F183&lt;&gt;"",'CHUNG TU'!B174,"")</f>
      </c>
      <c r="D183" s="129">
        <f>IF($F183&lt;&gt;"",'CHUNG TU'!F174,"")</f>
      </c>
      <c r="E183" s="129">
        <f>IF($F183&lt;&gt;"",'CHUNG TU'!H174,"")</f>
      </c>
      <c r="F183" s="130">
        <f>IF($F$7='CHUNG TU'!I174,'CHUNG TU'!J174,IF($F$7='CHUNG TU'!J174,'CHUNG TU'!I174,""))</f>
      </c>
      <c r="G183" s="130">
        <f>IF($F$7='CHUNG TU'!I174,'CHUNG TU'!$L174,0)</f>
        <v>0</v>
      </c>
      <c r="H183" s="130">
        <f>IF($F$7='CHUNG TU'!J174,'CHUNG TU'!$L174,0)</f>
        <v>0</v>
      </c>
      <c r="I183" s="130">
        <f>IF(G183+H183&lt;&gt;0,$I$10+SUM($G$14:G183)-SUM($H$14:H183),0)</f>
        <v>0</v>
      </c>
    </row>
    <row r="184" spans="2:9" ht="14.25">
      <c r="B184" s="129">
        <f>IF($F184&lt;&gt;"",'CHUNG TU'!A175,"")</f>
      </c>
      <c r="C184" s="129">
        <f>IF($F184&lt;&gt;"",'CHUNG TU'!B175,"")</f>
      </c>
      <c r="D184" s="129">
        <f>IF($F184&lt;&gt;"",'CHUNG TU'!F175,"")</f>
      </c>
      <c r="E184" s="129">
        <f>IF($F184&lt;&gt;"",'CHUNG TU'!H175,"")</f>
      </c>
      <c r="F184" s="130">
        <f>IF($F$7='CHUNG TU'!I175,'CHUNG TU'!J175,IF($F$7='CHUNG TU'!J175,'CHUNG TU'!I175,""))</f>
      </c>
      <c r="G184" s="130">
        <f>IF($F$7='CHUNG TU'!I175,'CHUNG TU'!$L175,0)</f>
        <v>0</v>
      </c>
      <c r="H184" s="130">
        <f>IF($F$7='CHUNG TU'!J175,'CHUNG TU'!$L175,0)</f>
        <v>0</v>
      </c>
      <c r="I184" s="130">
        <f>IF(G184+H184&lt;&gt;0,$I$10+SUM($G$14:G184)-SUM($H$14:H184),0)</f>
        <v>0</v>
      </c>
    </row>
    <row r="185" spans="2:9" ht="14.25">
      <c r="B185" s="129">
        <f>IF($F185&lt;&gt;"",'CHUNG TU'!A176,"")</f>
      </c>
      <c r="C185" s="129">
        <f>IF($F185&lt;&gt;"",'CHUNG TU'!B176,"")</f>
      </c>
      <c r="D185" s="129">
        <f>IF($F185&lt;&gt;"",'CHUNG TU'!F176,"")</f>
      </c>
      <c r="E185" s="129">
        <f>IF($F185&lt;&gt;"",'CHUNG TU'!H176,"")</f>
      </c>
      <c r="F185" s="130">
        <f>IF($F$7='CHUNG TU'!I176,'CHUNG TU'!J176,IF($F$7='CHUNG TU'!J176,'CHUNG TU'!I176,""))</f>
      </c>
      <c r="G185" s="130">
        <f>IF($F$7='CHUNG TU'!I176,'CHUNG TU'!$L176,0)</f>
        <v>0</v>
      </c>
      <c r="H185" s="130">
        <f>IF($F$7='CHUNG TU'!J176,'CHUNG TU'!$L176,0)</f>
        <v>0</v>
      </c>
      <c r="I185" s="130">
        <f>IF(G185+H185&lt;&gt;0,$I$10+SUM($G$14:G185)-SUM($H$14:H185),0)</f>
        <v>0</v>
      </c>
    </row>
    <row r="186" spans="2:9" ht="14.25">
      <c r="B186" s="129">
        <f>IF($F186&lt;&gt;"",'CHUNG TU'!A177,"")</f>
      </c>
      <c r="C186" s="129">
        <f>IF($F186&lt;&gt;"",'CHUNG TU'!B177,"")</f>
      </c>
      <c r="D186" s="129">
        <f>IF($F186&lt;&gt;"",'CHUNG TU'!F177,"")</f>
      </c>
      <c r="E186" s="129">
        <f>IF($F186&lt;&gt;"",'CHUNG TU'!H177,"")</f>
      </c>
      <c r="F186" s="130">
        <f>IF($F$7='CHUNG TU'!I177,'CHUNG TU'!J177,IF($F$7='CHUNG TU'!J177,'CHUNG TU'!I177,""))</f>
      </c>
      <c r="G186" s="130">
        <f>IF($F$7='CHUNG TU'!I177,'CHUNG TU'!$L177,0)</f>
        <v>0</v>
      </c>
      <c r="H186" s="130">
        <f>IF($F$7='CHUNG TU'!J177,'CHUNG TU'!$L177,0)</f>
        <v>0</v>
      </c>
      <c r="I186" s="130">
        <f>IF(G186+H186&lt;&gt;0,$I$10+SUM($G$14:G186)-SUM($H$14:H186),0)</f>
        <v>0</v>
      </c>
    </row>
    <row r="187" spans="2:9" ht="14.25">
      <c r="B187" s="129">
        <f>IF($F187&lt;&gt;"",'CHUNG TU'!A178,"")</f>
      </c>
      <c r="C187" s="129">
        <f>IF($F187&lt;&gt;"",'CHUNG TU'!B178,"")</f>
      </c>
      <c r="D187" s="129">
        <f>IF($F187&lt;&gt;"",'CHUNG TU'!F178,"")</f>
      </c>
      <c r="E187" s="129">
        <f>IF($F187&lt;&gt;"",'CHUNG TU'!H178,"")</f>
      </c>
      <c r="F187" s="130">
        <f>IF($F$7='CHUNG TU'!I178,'CHUNG TU'!J178,IF($F$7='CHUNG TU'!J178,'CHUNG TU'!I178,""))</f>
      </c>
      <c r="G187" s="130">
        <f>IF($F$7='CHUNG TU'!I178,'CHUNG TU'!$L178,0)</f>
        <v>0</v>
      </c>
      <c r="H187" s="130">
        <f>IF($F$7='CHUNG TU'!J178,'CHUNG TU'!$L178,0)</f>
        <v>0</v>
      </c>
      <c r="I187" s="130">
        <f>IF(G187+H187&lt;&gt;0,$I$10+SUM($G$14:G187)-SUM($H$14:H187),0)</f>
        <v>0</v>
      </c>
    </row>
    <row r="188" spans="2:9" ht="14.25">
      <c r="B188" s="129">
        <f>IF($F188&lt;&gt;"",'CHUNG TU'!A179,"")</f>
      </c>
      <c r="C188" s="129">
        <f>IF($F188&lt;&gt;"",'CHUNG TU'!B179,"")</f>
      </c>
      <c r="D188" s="129">
        <f>IF($F188&lt;&gt;"",'CHUNG TU'!F179,"")</f>
      </c>
      <c r="E188" s="129">
        <f>IF($F188&lt;&gt;"",'CHUNG TU'!H179,"")</f>
      </c>
      <c r="F188" s="130">
        <f>IF($F$7='CHUNG TU'!I179,'CHUNG TU'!J179,IF($F$7='CHUNG TU'!J179,'CHUNG TU'!I179,""))</f>
      </c>
      <c r="G188" s="130">
        <f>IF($F$7='CHUNG TU'!I179,'CHUNG TU'!$L179,0)</f>
        <v>0</v>
      </c>
      <c r="H188" s="130">
        <f>IF($F$7='CHUNG TU'!J179,'CHUNG TU'!$L179,0)</f>
        <v>0</v>
      </c>
      <c r="I188" s="130">
        <f>IF(G188+H188&lt;&gt;0,$I$10+SUM($G$14:G188)-SUM($H$14:H188),0)</f>
        <v>0</v>
      </c>
    </row>
    <row r="189" spans="2:9" ht="14.25">
      <c r="B189" s="129">
        <f>IF($F189&lt;&gt;"",'CHUNG TU'!A180,"")</f>
      </c>
      <c r="C189" s="129">
        <f>IF($F189&lt;&gt;"",'CHUNG TU'!B180,"")</f>
      </c>
      <c r="D189" s="129">
        <f>IF($F189&lt;&gt;"",'CHUNG TU'!F180,"")</f>
      </c>
      <c r="E189" s="129">
        <f>IF($F189&lt;&gt;"",'CHUNG TU'!H180,"")</f>
      </c>
      <c r="F189" s="130">
        <f>IF($F$7='CHUNG TU'!I180,'CHUNG TU'!J180,IF($F$7='CHUNG TU'!J180,'CHUNG TU'!I180,""))</f>
      </c>
      <c r="G189" s="130">
        <f>IF($F$7='CHUNG TU'!I180,'CHUNG TU'!$L180,0)</f>
        <v>0</v>
      </c>
      <c r="H189" s="130">
        <f>IF($F$7='CHUNG TU'!J180,'CHUNG TU'!$L180,0)</f>
        <v>0</v>
      </c>
      <c r="I189" s="130">
        <f>IF(G189+H189&lt;&gt;0,$I$10+SUM($G$14:G189)-SUM($H$14:H189),0)</f>
        <v>0</v>
      </c>
    </row>
    <row r="190" spans="2:9" ht="14.25">
      <c r="B190" s="129">
        <f>IF($F190&lt;&gt;"",'CHUNG TU'!A181,"")</f>
      </c>
      <c r="C190" s="129">
        <f>IF($F190&lt;&gt;"",'CHUNG TU'!B181,"")</f>
      </c>
      <c r="D190" s="129">
        <f>IF($F190&lt;&gt;"",'CHUNG TU'!F181,"")</f>
      </c>
      <c r="E190" s="129">
        <f>IF($F190&lt;&gt;"",'CHUNG TU'!H181,"")</f>
      </c>
      <c r="F190" s="130">
        <f>IF($F$7='CHUNG TU'!I181,'CHUNG TU'!J181,IF($F$7='CHUNG TU'!J181,'CHUNG TU'!I181,""))</f>
      </c>
      <c r="G190" s="130">
        <f>IF($F$7='CHUNG TU'!I181,'CHUNG TU'!$L181,0)</f>
        <v>0</v>
      </c>
      <c r="H190" s="130">
        <f>IF($F$7='CHUNG TU'!J181,'CHUNG TU'!$L181,0)</f>
        <v>0</v>
      </c>
      <c r="I190" s="130">
        <f>IF(G190+H190&lt;&gt;0,$I$10+SUM($G$14:G190)-SUM($H$14:H190),0)</f>
        <v>0</v>
      </c>
    </row>
    <row r="191" spans="2:9" ht="14.25">
      <c r="B191" s="129">
        <f>IF($F191&lt;&gt;"",'CHUNG TU'!A182,"")</f>
      </c>
      <c r="C191" s="129">
        <f>IF($F191&lt;&gt;"",'CHUNG TU'!B182,"")</f>
      </c>
      <c r="D191" s="129">
        <f>IF($F191&lt;&gt;"",'CHUNG TU'!F182,"")</f>
      </c>
      <c r="E191" s="129">
        <f>IF($F191&lt;&gt;"",'CHUNG TU'!H182,"")</f>
      </c>
      <c r="F191" s="130">
        <f>IF($F$7='CHUNG TU'!I182,'CHUNG TU'!J182,IF($F$7='CHUNG TU'!J182,'CHUNG TU'!I182,""))</f>
      </c>
      <c r="G191" s="130">
        <f>IF($F$7='CHUNG TU'!I182,'CHUNG TU'!$L182,0)</f>
        <v>0</v>
      </c>
      <c r="H191" s="130">
        <f>IF($F$7='CHUNG TU'!J182,'CHUNG TU'!$L182,0)</f>
        <v>0</v>
      </c>
      <c r="I191" s="130">
        <f>IF(G191+H191&lt;&gt;0,$I$10+SUM($G$14:G191)-SUM($H$14:H191),0)</f>
        <v>0</v>
      </c>
    </row>
    <row r="192" spans="2:9" ht="14.25">
      <c r="B192" s="129">
        <f>IF($F192&lt;&gt;"",'CHUNG TU'!A183,"")</f>
      </c>
      <c r="C192" s="129">
        <f>IF($F192&lt;&gt;"",'CHUNG TU'!B183,"")</f>
      </c>
      <c r="D192" s="129">
        <f>IF($F192&lt;&gt;"",'CHUNG TU'!F183,"")</f>
      </c>
      <c r="E192" s="129">
        <f>IF($F192&lt;&gt;"",'CHUNG TU'!H183,"")</f>
      </c>
      <c r="F192" s="130">
        <f>IF($F$7='CHUNG TU'!I183,'CHUNG TU'!J183,IF($F$7='CHUNG TU'!J183,'CHUNG TU'!I183,""))</f>
      </c>
      <c r="G192" s="130">
        <f>IF($F$7='CHUNG TU'!I183,'CHUNG TU'!$L183,0)</f>
        <v>0</v>
      </c>
      <c r="H192" s="130">
        <f>IF($F$7='CHUNG TU'!J183,'CHUNG TU'!$L183,0)</f>
        <v>0</v>
      </c>
      <c r="I192" s="130">
        <f>IF(G192+H192&lt;&gt;0,$I$10+SUM($G$14:G192)-SUM($H$14:H192),0)</f>
        <v>0</v>
      </c>
    </row>
    <row r="193" spans="2:9" ht="14.25">
      <c r="B193" s="129">
        <f>IF($F193&lt;&gt;"",'CHUNG TU'!A184,"")</f>
      </c>
      <c r="C193" s="129">
        <f>IF($F193&lt;&gt;"",'CHUNG TU'!B184,"")</f>
      </c>
      <c r="D193" s="129">
        <f>IF($F193&lt;&gt;"",'CHUNG TU'!F184,"")</f>
      </c>
      <c r="E193" s="129">
        <f>IF($F193&lt;&gt;"",'CHUNG TU'!H184,"")</f>
      </c>
      <c r="F193" s="130">
        <f>IF($F$7='CHUNG TU'!I184,'CHUNG TU'!J184,IF($F$7='CHUNG TU'!J184,'CHUNG TU'!I184,""))</f>
      </c>
      <c r="G193" s="130">
        <f>IF($F$7='CHUNG TU'!I184,'CHUNG TU'!$L184,0)</f>
        <v>0</v>
      </c>
      <c r="H193" s="130">
        <f>IF($F$7='CHUNG TU'!J184,'CHUNG TU'!$L184,0)</f>
        <v>0</v>
      </c>
      <c r="I193" s="130">
        <f>IF(G193+H193&lt;&gt;0,$I$10+SUM($G$14:G193)-SUM($H$14:H193),0)</f>
        <v>0</v>
      </c>
    </row>
    <row r="194" spans="2:9" ht="14.25">
      <c r="B194" s="129">
        <f>IF($F194&lt;&gt;"",'CHUNG TU'!A185,"")</f>
      </c>
      <c r="C194" s="129">
        <f>IF($F194&lt;&gt;"",'CHUNG TU'!B185,"")</f>
      </c>
      <c r="D194" s="129">
        <f>IF($F194&lt;&gt;"",'CHUNG TU'!F185,"")</f>
      </c>
      <c r="E194" s="129">
        <f>IF($F194&lt;&gt;"",'CHUNG TU'!H185,"")</f>
      </c>
      <c r="F194" s="130">
        <f>IF($F$7='CHUNG TU'!I185,'CHUNG TU'!J185,IF($F$7='CHUNG TU'!J185,'CHUNG TU'!I185,""))</f>
      </c>
      <c r="G194" s="130">
        <f>IF($F$7='CHUNG TU'!I185,'CHUNG TU'!$L185,0)</f>
        <v>0</v>
      </c>
      <c r="H194" s="130">
        <f>IF($F$7='CHUNG TU'!J185,'CHUNG TU'!$L185,0)</f>
        <v>0</v>
      </c>
      <c r="I194" s="130">
        <f>IF(G194+H194&lt;&gt;0,$I$10+SUM($G$14:G194)-SUM($H$14:H194),0)</f>
        <v>0</v>
      </c>
    </row>
    <row r="195" spans="2:9" ht="14.25">
      <c r="B195" s="129">
        <f>IF($F195&lt;&gt;"",'CHUNG TU'!A186,"")</f>
      </c>
      <c r="C195" s="129">
        <f>IF($F195&lt;&gt;"",'CHUNG TU'!B186,"")</f>
      </c>
      <c r="D195" s="129">
        <f>IF($F195&lt;&gt;"",'CHUNG TU'!F186,"")</f>
      </c>
      <c r="E195" s="129">
        <f>IF($F195&lt;&gt;"",'CHUNG TU'!H186,"")</f>
      </c>
      <c r="F195" s="130">
        <f>IF($F$7='CHUNG TU'!I186,'CHUNG TU'!J186,IF($F$7='CHUNG TU'!J186,'CHUNG TU'!I186,""))</f>
      </c>
      <c r="G195" s="130">
        <f>IF($F$7='CHUNG TU'!I186,'CHUNG TU'!$L186,0)</f>
        <v>0</v>
      </c>
      <c r="H195" s="130">
        <f>IF($F$7='CHUNG TU'!J186,'CHUNG TU'!$L186,0)</f>
        <v>0</v>
      </c>
      <c r="I195" s="130">
        <f>IF(G195+H195&lt;&gt;0,$I$10+SUM($G$14:G195)-SUM($H$14:H195),0)</f>
        <v>0</v>
      </c>
    </row>
    <row r="196" spans="2:9" ht="14.25">
      <c r="B196" s="129">
        <f>IF($F196&lt;&gt;"",'CHUNG TU'!A187,"")</f>
      </c>
      <c r="C196" s="129">
        <f>IF($F196&lt;&gt;"",'CHUNG TU'!B187,"")</f>
      </c>
      <c r="D196" s="129">
        <f>IF($F196&lt;&gt;"",'CHUNG TU'!F187,"")</f>
      </c>
      <c r="E196" s="129">
        <f>IF($F196&lt;&gt;"",'CHUNG TU'!H187,"")</f>
      </c>
      <c r="F196" s="130">
        <f>IF($F$7='CHUNG TU'!I187,'CHUNG TU'!J187,IF($F$7='CHUNG TU'!J187,'CHUNG TU'!I187,""))</f>
      </c>
      <c r="G196" s="130">
        <f>IF($F$7='CHUNG TU'!I187,'CHUNG TU'!$L187,0)</f>
        <v>0</v>
      </c>
      <c r="H196" s="130">
        <f>IF($F$7='CHUNG TU'!J187,'CHUNG TU'!$L187,0)</f>
        <v>0</v>
      </c>
      <c r="I196" s="130">
        <f>IF(G196+H196&lt;&gt;0,$I$10+SUM($G$14:G196)-SUM($H$14:H196),0)</f>
        <v>0</v>
      </c>
    </row>
    <row r="197" spans="2:9" ht="14.25">
      <c r="B197" s="129">
        <f>IF($F197&lt;&gt;"",'CHUNG TU'!A188,"")</f>
      </c>
      <c r="C197" s="129">
        <f>IF($F197&lt;&gt;"",'CHUNG TU'!B188,"")</f>
      </c>
      <c r="D197" s="129">
        <f>IF($F197&lt;&gt;"",'CHUNG TU'!F188,"")</f>
      </c>
      <c r="E197" s="129">
        <f>IF($F197&lt;&gt;"",'CHUNG TU'!H188,"")</f>
      </c>
      <c r="F197" s="130">
        <f>IF($F$7='CHUNG TU'!I188,'CHUNG TU'!J188,IF($F$7='CHUNG TU'!J188,'CHUNG TU'!I188,""))</f>
      </c>
      <c r="G197" s="130">
        <f>IF($F$7='CHUNG TU'!I188,'CHUNG TU'!$L188,0)</f>
        <v>0</v>
      </c>
      <c r="H197" s="130">
        <f>IF($F$7='CHUNG TU'!J188,'CHUNG TU'!$L188,0)</f>
        <v>0</v>
      </c>
      <c r="I197" s="130">
        <f>IF(G197+H197&lt;&gt;0,$I$10+SUM($G$14:G197)-SUM($H$14:H197),0)</f>
        <v>0</v>
      </c>
    </row>
    <row r="198" spans="2:9" ht="14.25">
      <c r="B198" s="129">
        <f>IF($F198&lt;&gt;"",'CHUNG TU'!A189,"")</f>
      </c>
      <c r="C198" s="129">
        <f>IF($F198&lt;&gt;"",'CHUNG TU'!B189,"")</f>
      </c>
      <c r="D198" s="129">
        <f>IF($F198&lt;&gt;"",'CHUNG TU'!F189,"")</f>
      </c>
      <c r="E198" s="129">
        <f>IF($F198&lt;&gt;"",'CHUNG TU'!H189,"")</f>
      </c>
      <c r="F198" s="130">
        <f>IF($F$7='CHUNG TU'!I189,'CHUNG TU'!J189,IF($F$7='CHUNG TU'!J189,'CHUNG TU'!I189,""))</f>
      </c>
      <c r="G198" s="130">
        <f>IF($F$7='CHUNG TU'!I189,'CHUNG TU'!$L189,0)</f>
        <v>0</v>
      </c>
      <c r="H198" s="130">
        <f>IF($F$7='CHUNG TU'!J189,'CHUNG TU'!$L189,0)</f>
        <v>0</v>
      </c>
      <c r="I198" s="130">
        <f>IF(G198+H198&lt;&gt;0,$I$10+SUM($G$14:G198)-SUM($H$14:H198),0)</f>
        <v>0</v>
      </c>
    </row>
    <row r="199" spans="2:9" ht="14.25">
      <c r="B199" s="129">
        <f>IF($F199&lt;&gt;"",'CHUNG TU'!A190,"")</f>
      </c>
      <c r="C199" s="129">
        <f>IF($F199&lt;&gt;"",'CHUNG TU'!B190,"")</f>
      </c>
      <c r="D199" s="129">
        <f>IF($F199&lt;&gt;"",'CHUNG TU'!F190,"")</f>
      </c>
      <c r="E199" s="129">
        <f>IF($F199&lt;&gt;"",'CHUNG TU'!H190,"")</f>
      </c>
      <c r="F199" s="130">
        <f>IF($F$7='CHUNG TU'!I190,'CHUNG TU'!J190,IF($F$7='CHUNG TU'!J190,'CHUNG TU'!I190,""))</f>
      </c>
      <c r="G199" s="130">
        <f>IF($F$7='CHUNG TU'!I190,'CHUNG TU'!$L190,0)</f>
        <v>0</v>
      </c>
      <c r="H199" s="130">
        <f>IF($F$7='CHUNG TU'!J190,'CHUNG TU'!$L190,0)</f>
        <v>0</v>
      </c>
      <c r="I199" s="130">
        <f>IF(G199+H199&lt;&gt;0,$I$10+SUM($G$14:G199)-SUM($H$14:H199),0)</f>
        <v>0</v>
      </c>
    </row>
    <row r="200" spans="2:9" ht="14.25">
      <c r="B200" s="129">
        <f>IF($F200&lt;&gt;"",'CHUNG TU'!A191,"")</f>
      </c>
      <c r="C200" s="129">
        <f>IF($F200&lt;&gt;"",'CHUNG TU'!B191,"")</f>
      </c>
      <c r="D200" s="129">
        <f>IF($F200&lt;&gt;"",'CHUNG TU'!F191,"")</f>
      </c>
      <c r="E200" s="129">
        <f>IF($F200&lt;&gt;"",'CHUNG TU'!H191,"")</f>
      </c>
      <c r="F200" s="130">
        <f>IF($F$7='CHUNG TU'!I191,'CHUNG TU'!J191,IF($F$7='CHUNG TU'!J191,'CHUNG TU'!I191,""))</f>
      </c>
      <c r="G200" s="130">
        <f>IF($F$7='CHUNG TU'!I191,'CHUNG TU'!$L191,0)</f>
        <v>0</v>
      </c>
      <c r="H200" s="130">
        <f>IF($F$7='CHUNG TU'!J191,'CHUNG TU'!$L191,0)</f>
        <v>0</v>
      </c>
      <c r="I200" s="130">
        <f>IF(G200+H200&lt;&gt;0,$I$10+SUM($G$14:G200)-SUM($H$14:H200),0)</f>
        <v>0</v>
      </c>
    </row>
    <row r="201" spans="2:9" ht="14.25">
      <c r="B201" s="129">
        <f>IF($F201&lt;&gt;"",'CHUNG TU'!A192,"")</f>
      </c>
      <c r="C201" s="129">
        <f>IF($F201&lt;&gt;"",'CHUNG TU'!B192,"")</f>
      </c>
      <c r="D201" s="129">
        <f>IF($F201&lt;&gt;"",'CHUNG TU'!F192,"")</f>
      </c>
      <c r="E201" s="129">
        <f>IF($F201&lt;&gt;"",'CHUNG TU'!H192,"")</f>
      </c>
      <c r="F201" s="130">
        <f>IF($F$7='CHUNG TU'!I192,'CHUNG TU'!J192,IF($F$7='CHUNG TU'!J192,'CHUNG TU'!I192,""))</f>
      </c>
      <c r="G201" s="130">
        <f>IF($F$7='CHUNG TU'!I192,'CHUNG TU'!$L192,0)</f>
        <v>0</v>
      </c>
      <c r="H201" s="130">
        <f>IF($F$7='CHUNG TU'!J192,'CHUNG TU'!$L192,0)</f>
        <v>0</v>
      </c>
      <c r="I201" s="130">
        <f>IF(G201+H201&lt;&gt;0,$I$10+SUM($G$14:G201)-SUM($H$14:H201),0)</f>
        <v>0</v>
      </c>
    </row>
    <row r="202" spans="2:9" ht="14.25">
      <c r="B202" s="129">
        <f>IF($F202&lt;&gt;"",'CHUNG TU'!A193,"")</f>
      </c>
      <c r="C202" s="129">
        <f>IF($F202&lt;&gt;"",'CHUNG TU'!B193,"")</f>
      </c>
      <c r="D202" s="129">
        <f>IF($F202&lt;&gt;"",'CHUNG TU'!F193,"")</f>
      </c>
      <c r="E202" s="129">
        <f>IF($F202&lt;&gt;"",'CHUNG TU'!H193,"")</f>
      </c>
      <c r="F202" s="130">
        <f>IF($F$7='CHUNG TU'!I193,'CHUNG TU'!J193,IF($F$7='CHUNG TU'!J193,'CHUNG TU'!I193,""))</f>
      </c>
      <c r="G202" s="130">
        <f>IF($F$7='CHUNG TU'!I193,'CHUNG TU'!$L193,0)</f>
        <v>0</v>
      </c>
      <c r="H202" s="130">
        <f>IF($F$7='CHUNG TU'!J193,'CHUNG TU'!$L193,0)</f>
        <v>0</v>
      </c>
      <c r="I202" s="130">
        <f>IF(G202+H202&lt;&gt;0,$I$10+SUM($G$14:G202)-SUM($H$14:H202),0)</f>
        <v>0</v>
      </c>
    </row>
    <row r="203" spans="2:9" ht="14.25">
      <c r="B203" s="129">
        <f>IF($F203&lt;&gt;"",'CHUNG TU'!A194,"")</f>
      </c>
      <c r="C203" s="129">
        <f>IF($F203&lt;&gt;"",'CHUNG TU'!B194,"")</f>
      </c>
      <c r="D203" s="129">
        <f>IF($F203&lt;&gt;"",'CHUNG TU'!F194,"")</f>
      </c>
      <c r="E203" s="129">
        <f>IF($F203&lt;&gt;"",'CHUNG TU'!H194,"")</f>
      </c>
      <c r="F203" s="130">
        <f>IF($F$7='CHUNG TU'!I194,'CHUNG TU'!J194,IF($F$7='CHUNG TU'!J194,'CHUNG TU'!I194,""))</f>
      </c>
      <c r="G203" s="130">
        <f>IF($F$7='CHUNG TU'!I194,'CHUNG TU'!$L194,0)</f>
        <v>0</v>
      </c>
      <c r="H203" s="130">
        <f>IF($F$7='CHUNG TU'!J194,'CHUNG TU'!$L194,0)</f>
        <v>0</v>
      </c>
      <c r="I203" s="130">
        <f>IF(G203+H203&lt;&gt;0,$I$10+SUM($G$14:G203)-SUM($H$14:H203),0)</f>
        <v>0</v>
      </c>
    </row>
    <row r="204" spans="2:9" ht="14.25">
      <c r="B204" s="129">
        <f>IF($F204&lt;&gt;"",'CHUNG TU'!A195,"")</f>
      </c>
      <c r="C204" s="129">
        <f>IF($F204&lt;&gt;"",'CHUNG TU'!B195,"")</f>
      </c>
      <c r="D204" s="129">
        <f>IF($F204&lt;&gt;"",'CHUNG TU'!F195,"")</f>
      </c>
      <c r="E204" s="129">
        <f>IF($F204&lt;&gt;"",'CHUNG TU'!H195,"")</f>
      </c>
      <c r="F204" s="130">
        <f>IF($F$7='CHUNG TU'!I195,'CHUNG TU'!J195,IF($F$7='CHUNG TU'!J195,'CHUNG TU'!I195,""))</f>
      </c>
      <c r="G204" s="130">
        <f>IF($F$7='CHUNG TU'!I195,'CHUNG TU'!$L195,0)</f>
        <v>0</v>
      </c>
      <c r="H204" s="130">
        <f>IF($F$7='CHUNG TU'!J195,'CHUNG TU'!$L195,0)</f>
        <v>0</v>
      </c>
      <c r="I204" s="130">
        <f>IF(G204+H204&lt;&gt;0,$I$10+SUM($G$14:G204)-SUM($H$14:H204),0)</f>
        <v>0</v>
      </c>
    </row>
    <row r="205" spans="2:9" ht="14.25">
      <c r="B205" s="129">
        <f>IF($F205&lt;&gt;"",'CHUNG TU'!A196,"")</f>
      </c>
      <c r="C205" s="129">
        <f>IF($F205&lt;&gt;"",'CHUNG TU'!B196,"")</f>
      </c>
      <c r="D205" s="129">
        <f>IF($F205&lt;&gt;"",'CHUNG TU'!F196,"")</f>
      </c>
      <c r="E205" s="129">
        <f>IF($F205&lt;&gt;"",'CHUNG TU'!H196,"")</f>
      </c>
      <c r="F205" s="130">
        <f>IF($F$7='CHUNG TU'!I196,'CHUNG TU'!J196,IF($F$7='CHUNG TU'!J196,'CHUNG TU'!I196,""))</f>
      </c>
      <c r="G205" s="130">
        <f>IF($F$7='CHUNG TU'!I196,'CHUNG TU'!$L196,0)</f>
        <v>0</v>
      </c>
      <c r="H205" s="130">
        <f>IF($F$7='CHUNG TU'!J196,'CHUNG TU'!$L196,0)</f>
        <v>0</v>
      </c>
      <c r="I205" s="130">
        <f>IF(G205+H205&lt;&gt;0,$I$10+SUM($G$14:G205)-SUM($H$14:H205),0)</f>
        <v>0</v>
      </c>
    </row>
    <row r="206" spans="2:9" ht="14.25">
      <c r="B206" s="129">
        <f>IF($F206&lt;&gt;"",'CHUNG TU'!A197,"")</f>
      </c>
      <c r="C206" s="129">
        <f>IF($F206&lt;&gt;"",'CHUNG TU'!B197,"")</f>
      </c>
      <c r="D206" s="129">
        <f>IF($F206&lt;&gt;"",'CHUNG TU'!F197,"")</f>
      </c>
      <c r="E206" s="129">
        <f>IF($F206&lt;&gt;"",'CHUNG TU'!H197,"")</f>
      </c>
      <c r="F206" s="130">
        <f>IF($F$7='CHUNG TU'!I197,'CHUNG TU'!J197,IF($F$7='CHUNG TU'!J197,'CHUNG TU'!I197,""))</f>
      </c>
      <c r="G206" s="130">
        <f>IF($F$7='CHUNG TU'!I197,'CHUNG TU'!$L197,0)</f>
        <v>0</v>
      </c>
      <c r="H206" s="130">
        <f>IF($F$7='CHUNG TU'!J197,'CHUNG TU'!$L197,0)</f>
        <v>0</v>
      </c>
      <c r="I206" s="130">
        <f>IF(G206+H206&lt;&gt;0,$I$10+SUM($G$14:G206)-SUM($H$14:H206),0)</f>
        <v>0</v>
      </c>
    </row>
    <row r="207" spans="2:9" ht="14.25">
      <c r="B207" s="129">
        <f>IF($F207&lt;&gt;"",'CHUNG TU'!A198,"")</f>
      </c>
      <c r="C207" s="129">
        <f>IF($F207&lt;&gt;"",'CHUNG TU'!B198,"")</f>
      </c>
      <c r="D207" s="129">
        <f>IF($F207&lt;&gt;"",'CHUNG TU'!F198,"")</f>
      </c>
      <c r="E207" s="129">
        <f>IF($F207&lt;&gt;"",'CHUNG TU'!H198,"")</f>
      </c>
      <c r="F207" s="130">
        <f>IF($F$7='CHUNG TU'!I198,'CHUNG TU'!J198,IF($F$7='CHUNG TU'!J198,'CHUNG TU'!I198,""))</f>
      </c>
      <c r="G207" s="130">
        <f>IF($F$7='CHUNG TU'!I198,'CHUNG TU'!$L198,0)</f>
        <v>0</v>
      </c>
      <c r="H207" s="130">
        <f>IF($F$7='CHUNG TU'!J198,'CHUNG TU'!$L198,0)</f>
        <v>0</v>
      </c>
      <c r="I207" s="130">
        <f>IF(G207+H207&lt;&gt;0,$I$10+SUM($G$14:G207)-SUM($H$14:H207),0)</f>
        <v>0</v>
      </c>
    </row>
    <row r="208" spans="2:9" ht="14.25">
      <c r="B208" s="129">
        <f>IF($F208&lt;&gt;"",'CHUNG TU'!A199,"")</f>
      </c>
      <c r="C208" s="129">
        <f>IF($F208&lt;&gt;"",'CHUNG TU'!B199,"")</f>
      </c>
      <c r="D208" s="129">
        <f>IF($F208&lt;&gt;"",'CHUNG TU'!F199,"")</f>
      </c>
      <c r="E208" s="129">
        <f>IF($F208&lt;&gt;"",'CHUNG TU'!H199,"")</f>
      </c>
      <c r="F208" s="130">
        <f>IF($F$7='CHUNG TU'!I199,'CHUNG TU'!J199,IF($F$7='CHUNG TU'!J199,'CHUNG TU'!I199,""))</f>
      </c>
      <c r="G208" s="130">
        <f>IF($F$7='CHUNG TU'!I199,'CHUNG TU'!$L199,0)</f>
        <v>0</v>
      </c>
      <c r="H208" s="130">
        <f>IF($F$7='CHUNG TU'!J199,'CHUNG TU'!$L199,0)</f>
        <v>0</v>
      </c>
      <c r="I208" s="130">
        <f>IF(G208+H208&lt;&gt;0,$I$10+SUM($G$14:G208)-SUM($H$14:H208),0)</f>
        <v>0</v>
      </c>
    </row>
    <row r="209" spans="2:9" ht="14.25">
      <c r="B209" s="129">
        <f>IF($F209&lt;&gt;"",'CHUNG TU'!A200,"")</f>
      </c>
      <c r="C209" s="129">
        <f>IF($F209&lt;&gt;"",'CHUNG TU'!B200,"")</f>
      </c>
      <c r="D209" s="129">
        <f>IF($F209&lt;&gt;"",'CHUNG TU'!F200,"")</f>
      </c>
      <c r="E209" s="129">
        <f>IF($F209&lt;&gt;"",'CHUNG TU'!H200,"")</f>
      </c>
      <c r="F209" s="130">
        <f>IF($F$7='CHUNG TU'!I200,'CHUNG TU'!J200,IF($F$7='CHUNG TU'!J200,'CHUNG TU'!I200,""))</f>
      </c>
      <c r="G209" s="130">
        <f>IF($F$7='CHUNG TU'!I200,'CHUNG TU'!$L200,0)</f>
        <v>0</v>
      </c>
      <c r="H209" s="130">
        <f>IF($F$7='CHUNG TU'!J200,'CHUNG TU'!$L200,0)</f>
        <v>0</v>
      </c>
      <c r="I209" s="130">
        <f>IF(G209+H209&lt;&gt;0,$I$10+SUM($G$14:G209)-SUM($H$14:H209),0)</f>
        <v>0</v>
      </c>
    </row>
    <row r="210" spans="2:9" ht="14.25">
      <c r="B210" s="129">
        <f>IF($F210&lt;&gt;"",'CHUNG TU'!A201,"")</f>
      </c>
      <c r="C210" s="129">
        <f>IF($F210&lt;&gt;"",'CHUNG TU'!B201,"")</f>
      </c>
      <c r="D210" s="129">
        <f>IF($F210&lt;&gt;"",'CHUNG TU'!F201,"")</f>
      </c>
      <c r="E210" s="129">
        <f>IF($F210&lt;&gt;"",'CHUNG TU'!H201,"")</f>
      </c>
      <c r="F210" s="130">
        <f>IF($F$7='CHUNG TU'!I201,'CHUNG TU'!J201,IF($F$7='CHUNG TU'!J201,'CHUNG TU'!I201,""))</f>
      </c>
      <c r="G210" s="130">
        <f>IF($F$7='CHUNG TU'!I201,'CHUNG TU'!$L201,0)</f>
        <v>0</v>
      </c>
      <c r="H210" s="130">
        <f>IF($F$7='CHUNG TU'!J201,'CHUNG TU'!$L201,0)</f>
        <v>0</v>
      </c>
      <c r="I210" s="130">
        <f>IF(G210+H210&lt;&gt;0,$I$10+SUM($G$14:G210)-SUM($H$14:H210),0)</f>
        <v>0</v>
      </c>
    </row>
    <row r="211" spans="2:9" ht="14.25">
      <c r="B211" s="129">
        <f>IF($F211&lt;&gt;"",'CHUNG TU'!A202,"")</f>
      </c>
      <c r="C211" s="129">
        <f>IF($F211&lt;&gt;"",'CHUNG TU'!B202,"")</f>
      </c>
      <c r="D211" s="129">
        <f>IF($F211&lt;&gt;"",'CHUNG TU'!F202,"")</f>
      </c>
      <c r="E211" s="129">
        <f>IF($F211&lt;&gt;"",'CHUNG TU'!H202,"")</f>
      </c>
      <c r="F211" s="130">
        <f>IF($F$7='CHUNG TU'!I202,'CHUNG TU'!J202,IF($F$7='CHUNG TU'!J202,'CHUNG TU'!I202,""))</f>
      </c>
      <c r="G211" s="130">
        <f>IF($F$7='CHUNG TU'!I202,'CHUNG TU'!$L202,0)</f>
        <v>0</v>
      </c>
      <c r="H211" s="130">
        <f>IF($F$7='CHUNG TU'!J202,'CHUNG TU'!$L202,0)</f>
        <v>0</v>
      </c>
      <c r="I211" s="130">
        <f>IF(G211+H211&lt;&gt;0,$I$10+SUM($G$14:G211)-SUM($H$14:H211),0)</f>
        <v>0</v>
      </c>
    </row>
    <row r="212" spans="2:9" ht="14.25">
      <c r="B212" s="129">
        <f>IF($F212&lt;&gt;"",'CHUNG TU'!A203,"")</f>
      </c>
      <c r="C212" s="129">
        <f>IF($F212&lt;&gt;"",'CHUNG TU'!B203,"")</f>
      </c>
      <c r="D212" s="129">
        <f>IF($F212&lt;&gt;"",'CHUNG TU'!F203,"")</f>
      </c>
      <c r="E212" s="129">
        <f>IF($F212&lt;&gt;"",'CHUNG TU'!H203,"")</f>
      </c>
      <c r="F212" s="130">
        <f>IF($F$7='CHUNG TU'!I203,'CHUNG TU'!J203,IF($F$7='CHUNG TU'!J203,'CHUNG TU'!I203,""))</f>
      </c>
      <c r="G212" s="130">
        <f>IF($F$7='CHUNG TU'!I203,'CHUNG TU'!$L203,0)</f>
        <v>0</v>
      </c>
      <c r="H212" s="130">
        <f>IF($F$7='CHUNG TU'!J203,'CHUNG TU'!$L203,0)</f>
        <v>0</v>
      </c>
      <c r="I212" s="130">
        <f>IF(G212+H212&lt;&gt;0,$I$10+SUM($G$14:G212)-SUM($H$14:H212),0)</f>
        <v>0</v>
      </c>
    </row>
    <row r="213" spans="2:9" ht="14.25">
      <c r="B213" s="129">
        <f>IF($F213&lt;&gt;"",'CHUNG TU'!A204,"")</f>
      </c>
      <c r="C213" s="129">
        <f>IF($F213&lt;&gt;"",'CHUNG TU'!B204,"")</f>
      </c>
      <c r="D213" s="129">
        <f>IF($F213&lt;&gt;"",'CHUNG TU'!F204,"")</f>
      </c>
      <c r="E213" s="129">
        <f>IF($F213&lt;&gt;"",'CHUNG TU'!H204,"")</f>
      </c>
      <c r="F213" s="130">
        <f>IF($F$7='CHUNG TU'!I204,'CHUNG TU'!J204,IF($F$7='CHUNG TU'!J204,'CHUNG TU'!I204,""))</f>
      </c>
      <c r="G213" s="130">
        <f>IF($F$7='CHUNG TU'!I204,'CHUNG TU'!$L204,0)</f>
        <v>0</v>
      </c>
      <c r="H213" s="130">
        <f>IF($F$7='CHUNG TU'!J204,'CHUNG TU'!$L204,0)</f>
        <v>0</v>
      </c>
      <c r="I213" s="130">
        <f>IF(G213+H213&lt;&gt;0,$I$10+SUM($G$14:G213)-SUM($H$14:H213),0)</f>
        <v>0</v>
      </c>
    </row>
    <row r="214" spans="2:9" ht="14.25">
      <c r="B214" s="129">
        <f>IF($F214&lt;&gt;"",'CHUNG TU'!A205,"")</f>
      </c>
      <c r="C214" s="129">
        <f>IF($F214&lt;&gt;"",'CHUNG TU'!B205,"")</f>
      </c>
      <c r="D214" s="129">
        <f>IF($F214&lt;&gt;"",'CHUNG TU'!F205,"")</f>
      </c>
      <c r="E214" s="129">
        <f>IF($F214&lt;&gt;"",'CHUNG TU'!H205,"")</f>
      </c>
      <c r="F214" s="130">
        <f>IF($F$7='CHUNG TU'!I205,'CHUNG TU'!J205,IF($F$7='CHUNG TU'!J205,'CHUNG TU'!I205,""))</f>
      </c>
      <c r="G214" s="130">
        <f>IF($F$7='CHUNG TU'!I205,'CHUNG TU'!$L205,0)</f>
        <v>0</v>
      </c>
      <c r="H214" s="130">
        <f>IF($F$7='CHUNG TU'!J205,'CHUNG TU'!$L205,0)</f>
        <v>0</v>
      </c>
      <c r="I214" s="130">
        <f>IF(G214+H214&lt;&gt;0,$I$10+SUM($G$14:G214)-SUM($H$14:H214),0)</f>
        <v>0</v>
      </c>
    </row>
    <row r="215" spans="2:9" ht="14.25">
      <c r="B215" s="129">
        <f>IF($F215&lt;&gt;"",'CHUNG TU'!A206,"")</f>
      </c>
      <c r="C215" s="129">
        <f>IF($F215&lt;&gt;"",'CHUNG TU'!B206,"")</f>
      </c>
      <c r="D215" s="129">
        <f>IF($F215&lt;&gt;"",'CHUNG TU'!F206,"")</f>
      </c>
      <c r="E215" s="129">
        <f>IF($F215&lt;&gt;"",'CHUNG TU'!H206,"")</f>
      </c>
      <c r="F215" s="130">
        <f>IF($F$7='CHUNG TU'!I206,'CHUNG TU'!J206,IF($F$7='CHUNG TU'!J206,'CHUNG TU'!I206,""))</f>
      </c>
      <c r="G215" s="130">
        <f>IF($F$7='CHUNG TU'!I206,'CHUNG TU'!$L206,0)</f>
        <v>0</v>
      </c>
      <c r="H215" s="130">
        <f>IF($F$7='CHUNG TU'!J206,'CHUNG TU'!$L206,0)</f>
        <v>0</v>
      </c>
      <c r="I215" s="130">
        <f>IF(G215+H215&lt;&gt;0,$I$10+SUM($G$14:G215)-SUM($H$14:H215),0)</f>
        <v>0</v>
      </c>
    </row>
    <row r="216" spans="2:9" ht="14.25">
      <c r="B216" s="129">
        <f>IF($F216&lt;&gt;"",'CHUNG TU'!A207,"")</f>
      </c>
      <c r="C216" s="129">
        <f>IF($F216&lt;&gt;"",'CHUNG TU'!B207,"")</f>
      </c>
      <c r="D216" s="129">
        <f>IF($F216&lt;&gt;"",'CHUNG TU'!F207,"")</f>
      </c>
      <c r="E216" s="129">
        <f>IF($F216&lt;&gt;"",'CHUNG TU'!H207,"")</f>
      </c>
      <c r="F216" s="130">
        <f>IF($F$7='CHUNG TU'!I207,'CHUNG TU'!J207,IF($F$7='CHUNG TU'!J207,'CHUNG TU'!I207,""))</f>
      </c>
      <c r="G216" s="130">
        <f>IF($F$7='CHUNG TU'!I207,'CHUNG TU'!$L207,0)</f>
        <v>0</v>
      </c>
      <c r="H216" s="130">
        <f>IF($F$7='CHUNG TU'!J207,'CHUNG TU'!$L207,0)</f>
        <v>0</v>
      </c>
      <c r="I216" s="130">
        <f>IF(G216+H216&lt;&gt;0,$I$10+SUM($G$14:G216)-SUM($H$14:H216),0)</f>
        <v>0</v>
      </c>
    </row>
    <row r="217" spans="2:9" ht="14.25">
      <c r="B217" s="129">
        <f>IF($F217&lt;&gt;"",'CHUNG TU'!A208,"")</f>
      </c>
      <c r="C217" s="129">
        <f>IF($F217&lt;&gt;"",'CHUNG TU'!B208,"")</f>
      </c>
      <c r="D217" s="129">
        <f>IF($F217&lt;&gt;"",'CHUNG TU'!F208,"")</f>
      </c>
      <c r="E217" s="129">
        <f>IF($F217&lt;&gt;"",'CHUNG TU'!H208,"")</f>
      </c>
      <c r="F217" s="130">
        <f>IF($F$7='CHUNG TU'!I208,'CHUNG TU'!J208,IF($F$7='CHUNG TU'!J208,'CHUNG TU'!I208,""))</f>
      </c>
      <c r="G217" s="130">
        <f>IF($F$7='CHUNG TU'!I208,'CHUNG TU'!$L208,0)</f>
        <v>0</v>
      </c>
      <c r="H217" s="130">
        <f>IF($F$7='CHUNG TU'!J208,'CHUNG TU'!$L208,0)</f>
        <v>0</v>
      </c>
      <c r="I217" s="130">
        <f>IF(G217+H217&lt;&gt;0,$I$10+SUM($G$14:G217)-SUM($H$14:H217),0)</f>
        <v>0</v>
      </c>
    </row>
    <row r="218" spans="2:9" ht="14.25">
      <c r="B218" s="129">
        <f>IF($F218&lt;&gt;"",'CHUNG TU'!A209,"")</f>
      </c>
      <c r="C218" s="129">
        <f>IF($F218&lt;&gt;"",'CHUNG TU'!B209,"")</f>
      </c>
      <c r="D218" s="129">
        <f>IF($F218&lt;&gt;"",'CHUNG TU'!F209,"")</f>
      </c>
      <c r="E218" s="129">
        <f>IF($F218&lt;&gt;"",'CHUNG TU'!H209,"")</f>
      </c>
      <c r="F218" s="130">
        <f>IF($F$7='CHUNG TU'!I209,'CHUNG TU'!J209,IF($F$7='CHUNG TU'!J209,'CHUNG TU'!I209,""))</f>
      </c>
      <c r="G218" s="130">
        <f>IF($F$7='CHUNG TU'!I209,'CHUNG TU'!$L209,0)</f>
        <v>0</v>
      </c>
      <c r="H218" s="130">
        <f>IF($F$7='CHUNG TU'!J209,'CHUNG TU'!$L209,0)</f>
        <v>0</v>
      </c>
      <c r="I218" s="130">
        <f>IF(G218+H218&lt;&gt;0,$I$10+SUM($G$14:G218)-SUM($H$14:H218),0)</f>
        <v>0</v>
      </c>
    </row>
    <row r="219" spans="2:9" ht="14.25">
      <c r="B219" s="129">
        <f>IF($F219&lt;&gt;"",'CHUNG TU'!A210,"")</f>
      </c>
      <c r="C219" s="129">
        <f>IF($F219&lt;&gt;"",'CHUNG TU'!B210,"")</f>
      </c>
      <c r="D219" s="129">
        <f>IF($F219&lt;&gt;"",'CHUNG TU'!F210,"")</f>
      </c>
      <c r="E219" s="129">
        <f>IF($F219&lt;&gt;"",'CHUNG TU'!H210,"")</f>
      </c>
      <c r="F219" s="130">
        <f>IF($F$7='CHUNG TU'!I210,'CHUNG TU'!J210,IF($F$7='CHUNG TU'!J210,'CHUNG TU'!I210,""))</f>
      </c>
      <c r="G219" s="130">
        <f>IF($F$7='CHUNG TU'!I210,'CHUNG TU'!$L210,0)</f>
        <v>0</v>
      </c>
      <c r="H219" s="130">
        <f>IF($F$7='CHUNG TU'!J210,'CHUNG TU'!$L210,0)</f>
        <v>0</v>
      </c>
      <c r="I219" s="130">
        <f>IF(G219+H219&lt;&gt;0,$I$10+SUM($G$14:G219)-SUM($H$14:H219),0)</f>
        <v>0</v>
      </c>
    </row>
    <row r="220" spans="2:9" ht="14.25">
      <c r="B220" s="129">
        <f>IF($F220&lt;&gt;"",'CHUNG TU'!A211,"")</f>
      </c>
      <c r="C220" s="129">
        <f>IF($F220&lt;&gt;"",'CHUNG TU'!B211,"")</f>
      </c>
      <c r="D220" s="129">
        <f>IF($F220&lt;&gt;"",'CHUNG TU'!F211,"")</f>
      </c>
      <c r="E220" s="129">
        <f>IF($F220&lt;&gt;"",'CHUNG TU'!H211,"")</f>
      </c>
      <c r="F220" s="130">
        <f>IF($F$7='CHUNG TU'!I211,'CHUNG TU'!J211,IF($F$7='CHUNG TU'!J211,'CHUNG TU'!I211,""))</f>
      </c>
      <c r="G220" s="130">
        <f>IF($F$7='CHUNG TU'!I211,'CHUNG TU'!$L211,0)</f>
        <v>0</v>
      </c>
      <c r="H220" s="130">
        <f>IF($F$7='CHUNG TU'!J211,'CHUNG TU'!$L211,0)</f>
        <v>0</v>
      </c>
      <c r="I220" s="130">
        <f>IF(G220+H220&lt;&gt;0,$I$10+SUM($G$14:G220)-SUM($H$14:H220),0)</f>
        <v>0</v>
      </c>
    </row>
    <row r="221" spans="2:9" ht="14.25">
      <c r="B221" s="129">
        <f>IF($F221&lt;&gt;"",'CHUNG TU'!A212,"")</f>
      </c>
      <c r="C221" s="129">
        <f>IF($F221&lt;&gt;"",'CHUNG TU'!B212,"")</f>
      </c>
      <c r="D221" s="129">
        <f>IF($F221&lt;&gt;"",'CHUNG TU'!F212,"")</f>
      </c>
      <c r="E221" s="129">
        <f>IF($F221&lt;&gt;"",'CHUNG TU'!H212,"")</f>
      </c>
      <c r="F221" s="130">
        <f>IF($F$7='CHUNG TU'!I212,'CHUNG TU'!J212,IF($F$7='CHUNG TU'!J212,'CHUNG TU'!I212,""))</f>
      </c>
      <c r="G221" s="130">
        <f>IF($F$7='CHUNG TU'!I212,'CHUNG TU'!$L212,0)</f>
        <v>0</v>
      </c>
      <c r="H221" s="130">
        <f>IF($F$7='CHUNG TU'!J212,'CHUNG TU'!$L212,0)</f>
        <v>0</v>
      </c>
      <c r="I221" s="130">
        <f>IF(G221+H221&lt;&gt;0,$I$10+SUM($G$14:G221)-SUM($H$14:H221),0)</f>
        <v>0</v>
      </c>
    </row>
    <row r="222" spans="2:9" ht="14.25">
      <c r="B222" s="129">
        <f>IF($F222&lt;&gt;"",'CHUNG TU'!A213,"")</f>
      </c>
      <c r="C222" s="129">
        <f>IF($F222&lt;&gt;"",'CHUNG TU'!B213,"")</f>
      </c>
      <c r="D222" s="129">
        <f>IF($F222&lt;&gt;"",'CHUNG TU'!F213,"")</f>
      </c>
      <c r="E222" s="129">
        <f>IF($F222&lt;&gt;"",'CHUNG TU'!H213,"")</f>
      </c>
      <c r="F222" s="130">
        <f>IF($F$7='CHUNG TU'!I213,'CHUNG TU'!J213,IF($F$7='CHUNG TU'!J213,'CHUNG TU'!I213,""))</f>
      </c>
      <c r="G222" s="130">
        <f>IF($F$7='CHUNG TU'!I213,'CHUNG TU'!$L213,0)</f>
        <v>0</v>
      </c>
      <c r="H222" s="130">
        <f>IF($F$7='CHUNG TU'!J213,'CHUNG TU'!$L213,0)</f>
        <v>0</v>
      </c>
      <c r="I222" s="130">
        <f>IF(G222+H222&lt;&gt;0,$I$10+SUM($G$14:G222)-SUM($H$14:H222),0)</f>
        <v>0</v>
      </c>
    </row>
    <row r="223" spans="2:9" ht="14.25">
      <c r="B223" s="129">
        <f>IF($F223&lt;&gt;"",'CHUNG TU'!A214,"")</f>
      </c>
      <c r="C223" s="129">
        <f>IF($F223&lt;&gt;"",'CHUNG TU'!B214,"")</f>
      </c>
      <c r="D223" s="129">
        <f>IF($F223&lt;&gt;"",'CHUNG TU'!F214,"")</f>
      </c>
      <c r="E223" s="129">
        <f>IF($F223&lt;&gt;"",'CHUNG TU'!H214,"")</f>
      </c>
      <c r="F223" s="130">
        <f>IF($F$7='CHUNG TU'!I214,'CHUNG TU'!J214,IF($F$7='CHUNG TU'!J214,'CHUNG TU'!I214,""))</f>
      </c>
      <c r="G223" s="130">
        <f>IF($F$7='CHUNG TU'!I214,'CHUNG TU'!$L214,0)</f>
        <v>0</v>
      </c>
      <c r="H223" s="130">
        <f>IF($F$7='CHUNG TU'!J214,'CHUNG TU'!$L214,0)</f>
        <v>0</v>
      </c>
      <c r="I223" s="130">
        <f>IF(G223+H223&lt;&gt;0,$I$10+SUM($G$14:G223)-SUM($H$14:H223),0)</f>
        <v>0</v>
      </c>
    </row>
    <row r="224" spans="2:9" ht="14.25">
      <c r="B224" s="129">
        <f>IF($F224&lt;&gt;"",'CHUNG TU'!A215,"")</f>
      </c>
      <c r="C224" s="129">
        <f>IF($F224&lt;&gt;"",'CHUNG TU'!B215,"")</f>
      </c>
      <c r="D224" s="129">
        <f>IF($F224&lt;&gt;"",'CHUNG TU'!F215,"")</f>
      </c>
      <c r="E224" s="129">
        <f>IF($F224&lt;&gt;"",'CHUNG TU'!H215,"")</f>
      </c>
      <c r="F224" s="130">
        <f>IF($F$7='CHUNG TU'!I215,'CHUNG TU'!J215,IF($F$7='CHUNG TU'!J215,'CHUNG TU'!I215,""))</f>
      </c>
      <c r="G224" s="130">
        <f>IF($F$7='CHUNG TU'!I215,'CHUNG TU'!$L215,0)</f>
        <v>0</v>
      </c>
      <c r="H224" s="130">
        <f>IF($F$7='CHUNG TU'!J215,'CHUNG TU'!$L215,0)</f>
        <v>0</v>
      </c>
      <c r="I224" s="130">
        <f>IF(G224+H224&lt;&gt;0,$I$10+SUM($G$14:G224)-SUM($H$14:H224),0)</f>
        <v>0</v>
      </c>
    </row>
    <row r="225" spans="2:9" ht="14.25">
      <c r="B225" s="129">
        <f>IF($F225&lt;&gt;"",'CHUNG TU'!A216,"")</f>
      </c>
      <c r="C225" s="129">
        <f>IF($F225&lt;&gt;"",'CHUNG TU'!B216,"")</f>
      </c>
      <c r="D225" s="129">
        <f>IF($F225&lt;&gt;"",'CHUNG TU'!F216,"")</f>
      </c>
      <c r="E225" s="129">
        <f>IF($F225&lt;&gt;"",'CHUNG TU'!H216,"")</f>
      </c>
      <c r="F225" s="130">
        <f>IF($F$7='CHUNG TU'!I216,'CHUNG TU'!J216,IF($F$7='CHUNG TU'!J216,'CHUNG TU'!I216,""))</f>
      </c>
      <c r="G225" s="130">
        <f>IF($F$7='CHUNG TU'!I216,'CHUNG TU'!$L216,0)</f>
        <v>0</v>
      </c>
      <c r="H225" s="130">
        <f>IF($F$7='CHUNG TU'!J216,'CHUNG TU'!$L216,0)</f>
        <v>0</v>
      </c>
      <c r="I225" s="130">
        <f>IF(G225+H225&lt;&gt;0,$I$10+SUM($G$14:G225)-SUM($H$14:H225),0)</f>
        <v>0</v>
      </c>
    </row>
    <row r="226" spans="2:9" ht="14.25">
      <c r="B226" s="129">
        <f>IF($F226&lt;&gt;"",'CHUNG TU'!A217,"")</f>
      </c>
      <c r="C226" s="129">
        <f>IF($F226&lt;&gt;"",'CHUNG TU'!B217,"")</f>
      </c>
      <c r="D226" s="129">
        <f>IF($F226&lt;&gt;"",'CHUNG TU'!F217,"")</f>
      </c>
      <c r="E226" s="129">
        <f>IF($F226&lt;&gt;"",'CHUNG TU'!H217,"")</f>
      </c>
      <c r="F226" s="130">
        <f>IF($F$7='CHUNG TU'!I217,'CHUNG TU'!J217,IF($F$7='CHUNG TU'!J217,'CHUNG TU'!I217,""))</f>
      </c>
      <c r="G226" s="130">
        <f>IF($F$7='CHUNG TU'!I217,'CHUNG TU'!$L217,0)</f>
        <v>0</v>
      </c>
      <c r="H226" s="130">
        <f>IF($F$7='CHUNG TU'!J217,'CHUNG TU'!$L217,0)</f>
        <v>0</v>
      </c>
      <c r="I226" s="130">
        <f>IF(G226+H226&lt;&gt;0,$I$10+SUM($G$14:G226)-SUM($H$14:H226),0)</f>
        <v>0</v>
      </c>
    </row>
    <row r="227" spans="2:9" ht="14.25">
      <c r="B227" s="129">
        <f>IF($F227&lt;&gt;"",'CHUNG TU'!A218,"")</f>
      </c>
      <c r="C227" s="129">
        <f>IF($F227&lt;&gt;"",'CHUNG TU'!B218,"")</f>
      </c>
      <c r="D227" s="129">
        <f>IF($F227&lt;&gt;"",'CHUNG TU'!F218,"")</f>
      </c>
      <c r="E227" s="129">
        <f>IF($F227&lt;&gt;"",'CHUNG TU'!H218,"")</f>
      </c>
      <c r="F227" s="130">
        <f>IF($F$7='CHUNG TU'!I218,'CHUNG TU'!J218,IF($F$7='CHUNG TU'!J218,'CHUNG TU'!I218,""))</f>
      </c>
      <c r="G227" s="130">
        <f>IF($F$7='CHUNG TU'!I218,'CHUNG TU'!$L218,0)</f>
        <v>0</v>
      </c>
      <c r="H227" s="130">
        <f>IF($F$7='CHUNG TU'!J218,'CHUNG TU'!$L218,0)</f>
        <v>0</v>
      </c>
      <c r="I227" s="130">
        <f>IF(G227+H227&lt;&gt;0,$I$10+SUM($G$14:G227)-SUM($H$14:H227),0)</f>
        <v>0</v>
      </c>
    </row>
    <row r="228" spans="2:9" ht="14.25">
      <c r="B228" s="129">
        <f>IF($F228&lt;&gt;"",'CHUNG TU'!A219,"")</f>
      </c>
      <c r="C228" s="129">
        <f>IF($F228&lt;&gt;"",'CHUNG TU'!B219,"")</f>
      </c>
      <c r="D228" s="129">
        <f>IF($F228&lt;&gt;"",'CHUNG TU'!F219,"")</f>
      </c>
      <c r="E228" s="129">
        <f>IF($F228&lt;&gt;"",'CHUNG TU'!H219,"")</f>
      </c>
      <c r="F228" s="130">
        <f>IF($F$7='CHUNG TU'!I219,'CHUNG TU'!J219,IF($F$7='CHUNG TU'!J219,'CHUNG TU'!I219,""))</f>
      </c>
      <c r="G228" s="130">
        <f>IF($F$7='CHUNG TU'!I219,'CHUNG TU'!$L219,0)</f>
        <v>0</v>
      </c>
      <c r="H228" s="130">
        <f>IF($F$7='CHUNG TU'!J219,'CHUNG TU'!$L219,0)</f>
        <v>0</v>
      </c>
      <c r="I228" s="130">
        <f>IF(G228+H228&lt;&gt;0,$I$10+SUM($G$14:G228)-SUM($H$14:H228),0)</f>
        <v>0</v>
      </c>
    </row>
    <row r="229" spans="2:9" ht="14.25">
      <c r="B229" s="129">
        <f>IF($F229&lt;&gt;"",'CHUNG TU'!A220,"")</f>
      </c>
      <c r="C229" s="129">
        <f>IF($F229&lt;&gt;"",'CHUNG TU'!B220,"")</f>
      </c>
      <c r="D229" s="129">
        <f>IF($F229&lt;&gt;"",'CHUNG TU'!F220,"")</f>
      </c>
      <c r="E229" s="129">
        <f>IF($F229&lt;&gt;"",'CHUNG TU'!H220,"")</f>
      </c>
      <c r="F229" s="130">
        <f>IF($F$7='CHUNG TU'!I220,'CHUNG TU'!J220,IF($F$7='CHUNG TU'!J220,'CHUNG TU'!I220,""))</f>
      </c>
      <c r="G229" s="130">
        <f>IF($F$7='CHUNG TU'!I220,'CHUNG TU'!$L220,0)</f>
        <v>0</v>
      </c>
      <c r="H229" s="130">
        <f>IF($F$7='CHUNG TU'!J220,'CHUNG TU'!$L220,0)</f>
        <v>0</v>
      </c>
      <c r="I229" s="130">
        <f>IF(G229+H229&lt;&gt;0,$I$10+SUM($G$14:G229)-SUM($H$14:H229),0)</f>
        <v>0</v>
      </c>
    </row>
    <row r="230" spans="2:9" ht="14.25">
      <c r="B230" s="129">
        <f>IF($F230&lt;&gt;"",'CHUNG TU'!A221,"")</f>
      </c>
      <c r="C230" s="129">
        <f>IF($F230&lt;&gt;"",'CHUNG TU'!B221,"")</f>
      </c>
      <c r="D230" s="129">
        <f>IF($F230&lt;&gt;"",'CHUNG TU'!F221,"")</f>
      </c>
      <c r="E230" s="129">
        <f>IF($F230&lt;&gt;"",'CHUNG TU'!H221,"")</f>
      </c>
      <c r="F230" s="130">
        <f>IF($F$7='CHUNG TU'!I221,'CHUNG TU'!J221,IF($F$7='CHUNG TU'!J221,'CHUNG TU'!I221,""))</f>
      </c>
      <c r="G230" s="130">
        <f>IF($F$7='CHUNG TU'!I221,'CHUNG TU'!$L221,0)</f>
        <v>0</v>
      </c>
      <c r="H230" s="130">
        <f>IF($F$7='CHUNG TU'!J221,'CHUNG TU'!$L221,0)</f>
        <v>0</v>
      </c>
      <c r="I230" s="130">
        <f>IF(G230+H230&lt;&gt;0,$I$10+SUM($G$14:G230)-SUM($H$14:H230),0)</f>
        <v>0</v>
      </c>
    </row>
    <row r="231" spans="2:9" ht="14.25">
      <c r="B231" s="129" t="str">
        <f>IF($F231&lt;&gt;"",'CHUNG TU'!A222,"")</f>
        <v>30/10/2020</v>
      </c>
      <c r="C231" s="129" t="str">
        <f>IF($F231&lt;&gt;"",'CHUNG TU'!B222,"")</f>
        <v>PC10/028</v>
      </c>
      <c r="D231" s="129" t="str">
        <f>IF($F231&lt;&gt;"",'CHUNG TU'!F222,"")</f>
        <v>30/10/2020</v>
      </c>
      <c r="E231" s="129" t="str">
        <f>IF($F231&lt;&gt;"",'CHUNG TU'!H222,"")</f>
        <v>Nộp thuế GTGT hàng nhập khẩu tháng trước</v>
      </c>
      <c r="F231" s="130" t="str">
        <f>IF($F$7='CHUNG TU'!I222,'CHUNG TU'!J222,IF($F$7='CHUNG TU'!J222,'CHUNG TU'!I222,""))</f>
        <v>33312</v>
      </c>
      <c r="G231" s="130">
        <f>IF($F$7='CHUNG TU'!I222,'CHUNG TU'!$L222,0)</f>
        <v>0</v>
      </c>
      <c r="H231" s="130">
        <f>IF($F$7='CHUNG TU'!J222,'CHUNG TU'!$L222,0)</f>
        <v>1000000</v>
      </c>
      <c r="I231" s="130">
        <f>IF(G231+H231&lt;&gt;0,$I$10+SUM($G$14:G231)-SUM($H$14:H231),0)</f>
        <v>38634600</v>
      </c>
    </row>
    <row r="232" spans="2:9" ht="14.25">
      <c r="B232" s="129">
        <f>IF($F232&lt;&gt;"",'CHUNG TU'!A223,"")</f>
      </c>
      <c r="C232" s="129">
        <f>IF($F232&lt;&gt;"",'CHUNG TU'!B223,"")</f>
      </c>
      <c r="D232" s="129">
        <f>IF($F232&lt;&gt;"",'CHUNG TU'!F223,"")</f>
      </c>
      <c r="E232" s="129">
        <f>IF($F232&lt;&gt;"",'CHUNG TU'!H223,"")</f>
      </c>
      <c r="F232" s="130">
        <f>IF($F$7='CHUNG TU'!I223,'CHUNG TU'!J223,IF($F$7='CHUNG TU'!J223,'CHUNG TU'!I223,""))</f>
      </c>
      <c r="G232" s="130">
        <f>IF($F$7='CHUNG TU'!I223,'CHUNG TU'!$L223,0)</f>
        <v>0</v>
      </c>
      <c r="H232" s="130">
        <f>IF($F$7='CHUNG TU'!J223,'CHUNG TU'!$L223,0)</f>
        <v>0</v>
      </c>
      <c r="I232" s="130">
        <f>IF(G232+H232&lt;&gt;0,$I$10+SUM($G$14:G232)-SUM($H$14:H232),0)</f>
        <v>0</v>
      </c>
    </row>
    <row r="233" spans="2:9" ht="14.25">
      <c r="B233" s="129">
        <f>IF($F233&lt;&gt;"",'CHUNG TU'!A224,"")</f>
      </c>
      <c r="C233" s="129">
        <f>IF($F233&lt;&gt;"",'CHUNG TU'!B224,"")</f>
      </c>
      <c r="D233" s="129">
        <f>IF($F233&lt;&gt;"",'CHUNG TU'!F224,"")</f>
      </c>
      <c r="E233" s="129">
        <f>IF($F233&lt;&gt;"",'CHUNG TU'!H224,"")</f>
      </c>
      <c r="F233" s="130">
        <f>IF($F$7='CHUNG TU'!I224,'CHUNG TU'!J224,IF($F$7='CHUNG TU'!J224,'CHUNG TU'!I224,""))</f>
      </c>
      <c r="G233" s="130">
        <f>IF($F$7='CHUNG TU'!I224,'CHUNG TU'!$L224,0)</f>
        <v>0</v>
      </c>
      <c r="H233" s="130">
        <f>IF($F$7='CHUNG TU'!J224,'CHUNG TU'!$L224,0)</f>
        <v>0</v>
      </c>
      <c r="I233" s="130">
        <f>IF(G233+H233&lt;&gt;0,$I$10+SUM($G$14:G233)-SUM($H$14:H233),0)</f>
        <v>0</v>
      </c>
    </row>
    <row r="234" spans="2:9" ht="14.25">
      <c r="B234" s="129">
        <f>IF($F234&lt;&gt;"",'CHUNG TU'!A225,"")</f>
      </c>
      <c r="C234" s="129">
        <f>IF($F234&lt;&gt;"",'CHUNG TU'!B225,"")</f>
      </c>
      <c r="D234" s="129">
        <f>IF($F234&lt;&gt;"",'CHUNG TU'!F225,"")</f>
      </c>
      <c r="E234" s="129">
        <f>IF($F234&lt;&gt;"",'CHUNG TU'!H225,"")</f>
      </c>
      <c r="F234" s="130">
        <f>IF($F$7='CHUNG TU'!I225,'CHUNG TU'!J225,IF($F$7='CHUNG TU'!J225,'CHUNG TU'!I225,""))</f>
      </c>
      <c r="G234" s="130">
        <f>IF($F$7='CHUNG TU'!I225,'CHUNG TU'!$L225,0)</f>
        <v>0</v>
      </c>
      <c r="H234" s="130">
        <f>IF($F$7='CHUNG TU'!J225,'CHUNG TU'!$L225,0)</f>
        <v>0</v>
      </c>
      <c r="I234" s="130">
        <f>IF(G234+H234&lt;&gt;0,$I$10+SUM($G$14:G234)-SUM($H$14:H234),0)</f>
        <v>0</v>
      </c>
    </row>
    <row r="235" spans="2:9" ht="14.25">
      <c r="B235" s="129">
        <f>IF($F235&lt;&gt;"",'CHUNG TU'!A226,"")</f>
      </c>
      <c r="C235" s="129">
        <f>IF($F235&lt;&gt;"",'CHUNG TU'!B226,"")</f>
      </c>
      <c r="D235" s="129">
        <f>IF($F235&lt;&gt;"",'CHUNG TU'!F226,"")</f>
      </c>
      <c r="E235" s="129">
        <f>IF($F235&lt;&gt;"",'CHUNG TU'!H226,"")</f>
      </c>
      <c r="F235" s="130">
        <f>IF($F$7='CHUNG TU'!I226,'CHUNG TU'!J226,IF($F$7='CHUNG TU'!J226,'CHUNG TU'!I226,""))</f>
      </c>
      <c r="G235" s="130">
        <f>IF($F$7='CHUNG TU'!I226,'CHUNG TU'!$L226,0)</f>
        <v>0</v>
      </c>
      <c r="H235" s="130">
        <f>IF($F$7='CHUNG TU'!J226,'CHUNG TU'!$L226,0)</f>
        <v>0</v>
      </c>
      <c r="I235" s="130">
        <f>IF(G235+H235&lt;&gt;0,$I$10+SUM($G$14:G235)-SUM($H$14:H235),0)</f>
        <v>0</v>
      </c>
    </row>
    <row r="236" spans="2:9" ht="14.25">
      <c r="B236" s="129">
        <f>IF($F236&lt;&gt;"",'CHUNG TU'!A227,"")</f>
      </c>
      <c r="C236" s="129">
        <f>IF($F236&lt;&gt;"",'CHUNG TU'!B227,"")</f>
      </c>
      <c r="D236" s="129">
        <f>IF($F236&lt;&gt;"",'CHUNG TU'!F227,"")</f>
      </c>
      <c r="E236" s="129">
        <f>IF($F236&lt;&gt;"",'CHUNG TU'!H227,"")</f>
      </c>
      <c r="F236" s="130">
        <f>IF($F$7='CHUNG TU'!I227,'CHUNG TU'!J227,IF($F$7='CHUNG TU'!J227,'CHUNG TU'!I227,""))</f>
      </c>
      <c r="G236" s="130">
        <f>IF($F$7='CHUNG TU'!I227,'CHUNG TU'!$L227,0)</f>
        <v>0</v>
      </c>
      <c r="H236" s="130">
        <f>IF($F$7='CHUNG TU'!J227,'CHUNG TU'!$L227,0)</f>
        <v>0</v>
      </c>
      <c r="I236" s="130">
        <f>IF(G236+H236&lt;&gt;0,$I$10+SUM($G$14:G236)-SUM($H$14:H236),0)</f>
        <v>0</v>
      </c>
    </row>
    <row r="237" spans="2:9" ht="14.25">
      <c r="B237" s="129" t="str">
        <f>IF($F237&lt;&gt;"",'CHUNG TU'!A228,"")</f>
        <v>30/10/2020</v>
      </c>
      <c r="C237" s="129" t="str">
        <f>IF($F237&lt;&gt;"",'CHUNG TU'!B228,"")</f>
        <v>PT10/015</v>
      </c>
      <c r="D237" s="129" t="str">
        <f>IF($F237&lt;&gt;"",'CHUNG TU'!F228,"")</f>
        <v>30/10/2020</v>
      </c>
      <c r="E237" s="129" t="str">
        <f>IF($F237&lt;&gt;"",'CHUNG TU'!H228,"")</f>
        <v>Thu tiền nợ Công ty Metro</v>
      </c>
      <c r="F237" s="130" t="str">
        <f>IF($F$7='CHUNG TU'!I228,'CHUNG TU'!J228,IF($F$7='CHUNG TU'!J228,'CHUNG TU'!I228,""))</f>
        <v>1311.001</v>
      </c>
      <c r="G237" s="130">
        <f>IF($F$7='CHUNG TU'!I228,'CHUNG TU'!$L228,0)</f>
        <v>20000000</v>
      </c>
      <c r="H237" s="130">
        <f>IF($F$7='CHUNG TU'!J228,'CHUNG TU'!$L228,0)</f>
        <v>0</v>
      </c>
      <c r="I237" s="130">
        <f>IF(G237+H237&lt;&gt;0,$I$10+SUM($G$14:G237)-SUM($H$14:H237),0)</f>
        <v>58634600</v>
      </c>
    </row>
    <row r="238" spans="2:9" ht="14.25">
      <c r="B238" s="129">
        <f>IF($F238&lt;&gt;"",'CHUNG TU'!A229,"")</f>
      </c>
      <c r="C238" s="129">
        <f>IF($F238&lt;&gt;"",'CHUNG TU'!B229,"")</f>
      </c>
      <c r="D238" s="129">
        <f>IF($F238&lt;&gt;"",'CHUNG TU'!F229,"")</f>
      </c>
      <c r="E238" s="129">
        <f>IF($F238&lt;&gt;"",'CHUNG TU'!H229,"")</f>
      </c>
      <c r="F238" s="130">
        <f>IF($F$7='CHUNG TU'!I229,'CHUNG TU'!J229,IF($F$7='CHUNG TU'!J229,'CHUNG TU'!I229,""))</f>
      </c>
      <c r="G238" s="130">
        <f>IF($F$7='CHUNG TU'!I229,'CHUNG TU'!$L229,0)</f>
        <v>0</v>
      </c>
      <c r="H238" s="130">
        <f>IF($F$7='CHUNG TU'!J229,'CHUNG TU'!$L229,0)</f>
        <v>0</v>
      </c>
      <c r="I238" s="130">
        <f>IF(G238+H238&lt;&gt;0,$I$10+SUM($G$14:G238)-SUM($H$14:H238),0)</f>
        <v>0</v>
      </c>
    </row>
    <row r="239" spans="2:9" ht="14.25">
      <c r="B239" s="129">
        <f>IF($F239&lt;&gt;"",'CHUNG TU'!A230,"")</f>
      </c>
      <c r="C239" s="129">
        <f>IF($F239&lt;&gt;"",'CHUNG TU'!B230,"")</f>
      </c>
      <c r="D239" s="129">
        <f>IF($F239&lt;&gt;"",'CHUNG TU'!F230,"")</f>
      </c>
      <c r="E239" s="129">
        <f>IF($F239&lt;&gt;"",'CHUNG TU'!H230,"")</f>
      </c>
      <c r="F239" s="130">
        <f>IF($F$7='CHUNG TU'!I230,'CHUNG TU'!J230,IF($F$7='CHUNG TU'!J230,'CHUNG TU'!I230,""))</f>
      </c>
      <c r="G239" s="130">
        <f>IF($F$7='CHUNG TU'!I230,'CHUNG TU'!$L230,0)</f>
        <v>0</v>
      </c>
      <c r="H239" s="130">
        <f>IF($F$7='CHUNG TU'!J230,'CHUNG TU'!$L230,0)</f>
        <v>0</v>
      </c>
      <c r="I239" s="130">
        <f>IF(G239+H239&lt;&gt;0,$I$10+SUM($G$14:G239)-SUM($H$14:H239),0)</f>
        <v>0</v>
      </c>
    </row>
    <row r="240" spans="2:9" ht="14.25">
      <c r="B240" s="129">
        <f>IF($F240&lt;&gt;"",'CHUNG TU'!A231,"")</f>
      </c>
      <c r="C240" s="129">
        <f>IF($F240&lt;&gt;"",'CHUNG TU'!B231,"")</f>
      </c>
      <c r="D240" s="129">
        <f>IF($F240&lt;&gt;"",'CHUNG TU'!F231,"")</f>
      </c>
      <c r="E240" s="129">
        <f>IF($F240&lt;&gt;"",'CHUNG TU'!H231,"")</f>
      </c>
      <c r="F240" s="130">
        <f>IF($F$7='CHUNG TU'!I231,'CHUNG TU'!J231,IF($F$7='CHUNG TU'!J231,'CHUNG TU'!I231,""))</f>
      </c>
      <c r="G240" s="130">
        <f>IF($F$7='CHUNG TU'!I231,'CHUNG TU'!$L231,0)</f>
        <v>0</v>
      </c>
      <c r="H240" s="130">
        <f>IF($F$7='CHUNG TU'!J231,'CHUNG TU'!$L231,0)</f>
        <v>0</v>
      </c>
      <c r="I240" s="130">
        <f>IF(G240+H240&lt;&gt;0,$I$10+SUM($G$14:G240)-SUM($H$14:H240),0)</f>
        <v>0</v>
      </c>
    </row>
    <row r="241" spans="2:9" ht="14.25">
      <c r="B241" s="129">
        <f>IF($F241&lt;&gt;"",'CHUNG TU'!A232,"")</f>
      </c>
      <c r="C241" s="129">
        <f>IF($F241&lt;&gt;"",'CHUNG TU'!B232,"")</f>
      </c>
      <c r="D241" s="129">
        <f>IF($F241&lt;&gt;"",'CHUNG TU'!F232,"")</f>
      </c>
      <c r="E241" s="129">
        <f>IF($F241&lt;&gt;"",'CHUNG TU'!H232,"")</f>
      </c>
      <c r="F241" s="130">
        <f>IF($F$7='CHUNG TU'!I232,'CHUNG TU'!J232,IF($F$7='CHUNG TU'!J232,'CHUNG TU'!I232,""))</f>
      </c>
      <c r="G241" s="130">
        <f>IF($F$7='CHUNG TU'!I232,'CHUNG TU'!$L232,0)</f>
        <v>0</v>
      </c>
      <c r="H241" s="130">
        <f>IF($F$7='CHUNG TU'!J232,'CHUNG TU'!$L232,0)</f>
        <v>0</v>
      </c>
      <c r="I241" s="130">
        <f>IF(G241+H241&lt;&gt;0,$I$10+SUM($G$14:G241)-SUM($H$14:H241),0)</f>
        <v>0</v>
      </c>
    </row>
    <row r="242" spans="2:9" ht="14.25">
      <c r="B242" s="129">
        <f>IF($F242&lt;&gt;"",'CHUNG TU'!A233,"")</f>
      </c>
      <c r="C242" s="129">
        <f>IF($F242&lt;&gt;"",'CHUNG TU'!B233,"")</f>
      </c>
      <c r="D242" s="129">
        <f>IF($F242&lt;&gt;"",'CHUNG TU'!F233,"")</f>
      </c>
      <c r="E242" s="129">
        <f>IF($F242&lt;&gt;"",'CHUNG TU'!H233,"")</f>
      </c>
      <c r="F242" s="130">
        <f>IF($F$7='CHUNG TU'!I233,'CHUNG TU'!J233,IF($F$7='CHUNG TU'!J233,'CHUNG TU'!I233,""))</f>
      </c>
      <c r="G242" s="130">
        <f>IF($F$7='CHUNG TU'!I233,'CHUNG TU'!$L233,0)</f>
        <v>0</v>
      </c>
      <c r="H242" s="130">
        <f>IF($F$7='CHUNG TU'!J233,'CHUNG TU'!$L233,0)</f>
        <v>0</v>
      </c>
      <c r="I242" s="130">
        <f>IF(G242+H242&lt;&gt;0,$I$10+SUM($G$14:G242)-SUM($H$14:H242),0)</f>
        <v>0</v>
      </c>
    </row>
    <row r="243" spans="2:9" ht="14.25">
      <c r="B243" s="129">
        <f>IF($F243&lt;&gt;"",'CHUNG TU'!A234,"")</f>
      </c>
      <c r="C243" s="129">
        <f>IF($F243&lt;&gt;"",'CHUNG TU'!B234,"")</f>
      </c>
      <c r="D243" s="129">
        <f>IF($F243&lt;&gt;"",'CHUNG TU'!F234,"")</f>
      </c>
      <c r="E243" s="129">
        <f>IF($F243&lt;&gt;"",'CHUNG TU'!H234,"")</f>
      </c>
      <c r="F243" s="130">
        <f>IF($F$7='CHUNG TU'!I234,'CHUNG TU'!J234,IF($F$7='CHUNG TU'!J234,'CHUNG TU'!I234,""))</f>
      </c>
      <c r="G243" s="130">
        <f>IF($F$7='CHUNG TU'!I234,'CHUNG TU'!$L234,0)</f>
        <v>0</v>
      </c>
      <c r="H243" s="130">
        <f>IF($F$7='CHUNG TU'!J234,'CHUNG TU'!$L234,0)</f>
        <v>0</v>
      </c>
      <c r="I243" s="130">
        <f>IF(G243+H243&lt;&gt;0,$I$10+SUM($G$14:G243)-SUM($H$14:H243),0)</f>
        <v>0</v>
      </c>
    </row>
    <row r="244" spans="2:9" ht="14.25">
      <c r="B244" s="129">
        <f>IF($F244&lt;&gt;"",'CHUNG TU'!A235,"")</f>
      </c>
      <c r="C244" s="129">
        <f>IF($F244&lt;&gt;"",'CHUNG TU'!B235,"")</f>
      </c>
      <c r="D244" s="129">
        <f>IF($F244&lt;&gt;"",'CHUNG TU'!F235,"")</f>
      </c>
      <c r="E244" s="129">
        <f>IF($F244&lt;&gt;"",'CHUNG TU'!H235,"")</f>
      </c>
      <c r="F244" s="130">
        <f>IF($F$7='CHUNG TU'!I235,'CHUNG TU'!J235,IF($F$7='CHUNG TU'!J235,'CHUNG TU'!I235,""))</f>
      </c>
      <c r="G244" s="130">
        <f>IF($F$7='CHUNG TU'!I235,'CHUNG TU'!$L235,0)</f>
        <v>0</v>
      </c>
      <c r="H244" s="130">
        <f>IF($F$7='CHUNG TU'!J235,'CHUNG TU'!$L235,0)</f>
        <v>0</v>
      </c>
      <c r="I244" s="130">
        <f>IF(G244+H244&lt;&gt;0,$I$10+SUM($G$14:G244)-SUM($H$14:H244),0)</f>
        <v>0</v>
      </c>
    </row>
    <row r="245" spans="2:9" ht="14.25">
      <c r="B245" s="129">
        <f>IF($F245&lt;&gt;"",'CHUNG TU'!A236,"")</f>
      </c>
      <c r="C245" s="129">
        <f>IF($F245&lt;&gt;"",'CHUNG TU'!B236,"")</f>
      </c>
      <c r="D245" s="129">
        <f>IF($F245&lt;&gt;"",'CHUNG TU'!F236,"")</f>
      </c>
      <c r="E245" s="129">
        <f>IF($F245&lt;&gt;"",'CHUNG TU'!H236,"")</f>
      </c>
      <c r="F245" s="130">
        <f>IF($F$7='CHUNG TU'!I236,'CHUNG TU'!J236,IF($F$7='CHUNG TU'!J236,'CHUNG TU'!I236,""))</f>
      </c>
      <c r="G245" s="130">
        <f>IF($F$7='CHUNG TU'!I236,'CHUNG TU'!$L236,0)</f>
        <v>0</v>
      </c>
      <c r="H245" s="130">
        <f>IF($F$7='CHUNG TU'!J236,'CHUNG TU'!$L236,0)</f>
        <v>0</v>
      </c>
      <c r="I245" s="130">
        <f>IF(G245+H245&lt;&gt;0,$I$10+SUM($G$14:G245)-SUM($H$14:H245),0)</f>
        <v>0</v>
      </c>
    </row>
    <row r="246" spans="2:9" ht="14.25">
      <c r="B246" s="129">
        <f>IF($F246&lt;&gt;"",'CHUNG TU'!A237,"")</f>
      </c>
      <c r="C246" s="129">
        <f>IF($F246&lt;&gt;"",'CHUNG TU'!B237,"")</f>
      </c>
      <c r="D246" s="129">
        <f>IF($F246&lt;&gt;"",'CHUNG TU'!F237,"")</f>
      </c>
      <c r="E246" s="129">
        <f>IF($F246&lt;&gt;"",'CHUNG TU'!H237,"")</f>
      </c>
      <c r="F246" s="130">
        <f>IF($F$7='CHUNG TU'!I237,'CHUNG TU'!J237,IF($F$7='CHUNG TU'!J237,'CHUNG TU'!I237,""))</f>
      </c>
      <c r="G246" s="130">
        <f>IF($F$7='CHUNG TU'!I237,'CHUNG TU'!$L237,0)</f>
        <v>0</v>
      </c>
      <c r="H246" s="130">
        <f>IF($F$7='CHUNG TU'!J237,'CHUNG TU'!$L237,0)</f>
        <v>0</v>
      </c>
      <c r="I246" s="130">
        <f>IF(G246+H246&lt;&gt;0,$I$10+SUM($G$14:G246)-SUM($H$14:H246),0)</f>
        <v>0</v>
      </c>
    </row>
    <row r="247" spans="2:9" ht="14.25">
      <c r="B247" s="129">
        <f>IF($F247&lt;&gt;"",'CHUNG TU'!A238,"")</f>
      </c>
      <c r="C247" s="129">
        <f>IF($F247&lt;&gt;"",'CHUNG TU'!B238,"")</f>
      </c>
      <c r="D247" s="129">
        <f>IF($F247&lt;&gt;"",'CHUNG TU'!F238,"")</f>
      </c>
      <c r="E247" s="129">
        <f>IF($F247&lt;&gt;"",'CHUNG TU'!H238,"")</f>
      </c>
      <c r="F247" s="130">
        <f>IF($F$7='CHUNG TU'!I238,'CHUNG TU'!J238,IF($F$7='CHUNG TU'!J238,'CHUNG TU'!I238,""))</f>
      </c>
      <c r="G247" s="130">
        <f>IF($F$7='CHUNG TU'!I238,'CHUNG TU'!$L238,0)</f>
        <v>0</v>
      </c>
      <c r="H247" s="130">
        <f>IF($F$7='CHUNG TU'!J238,'CHUNG TU'!$L238,0)</f>
        <v>0</v>
      </c>
      <c r="I247" s="130">
        <f>IF(G247+H247&lt;&gt;0,$I$10+SUM($G$14:G247)-SUM($H$14:H247),0)</f>
        <v>0</v>
      </c>
    </row>
    <row r="248" spans="2:9" ht="14.25">
      <c r="B248" s="129">
        <f>IF($F248&lt;&gt;"",'CHUNG TU'!A239,"")</f>
      </c>
      <c r="C248" s="129">
        <f>IF($F248&lt;&gt;"",'CHUNG TU'!B239,"")</f>
      </c>
      <c r="D248" s="129">
        <f>IF($F248&lt;&gt;"",'CHUNG TU'!F239,"")</f>
      </c>
      <c r="E248" s="129">
        <f>IF($F248&lt;&gt;"",'CHUNG TU'!H239,"")</f>
      </c>
      <c r="F248" s="130">
        <f>IF($F$7='CHUNG TU'!I239,'CHUNG TU'!J239,IF($F$7='CHUNG TU'!J239,'CHUNG TU'!I239,""))</f>
      </c>
      <c r="G248" s="130">
        <f>IF($F$7='CHUNG TU'!I239,'CHUNG TU'!$L239,0)</f>
        <v>0</v>
      </c>
      <c r="H248" s="130">
        <f>IF($F$7='CHUNG TU'!J239,'CHUNG TU'!$L239,0)</f>
        <v>0</v>
      </c>
      <c r="I248" s="130">
        <f>IF(G248+H248&lt;&gt;0,$I$10+SUM($G$14:G248)-SUM($H$14:H248),0)</f>
        <v>0</v>
      </c>
    </row>
    <row r="249" spans="2:9" ht="14.25">
      <c r="B249" s="129">
        <f>IF($F249&lt;&gt;"",'CHUNG TU'!A240,"")</f>
      </c>
      <c r="C249" s="129">
        <f>IF($F249&lt;&gt;"",'CHUNG TU'!B240,"")</f>
      </c>
      <c r="D249" s="129">
        <f>IF($F249&lt;&gt;"",'CHUNG TU'!F240,"")</f>
      </c>
      <c r="E249" s="129">
        <f>IF($F249&lt;&gt;"",'CHUNG TU'!H240,"")</f>
      </c>
      <c r="F249" s="130">
        <f>IF($F$7='CHUNG TU'!I240,'CHUNG TU'!J240,IF($F$7='CHUNG TU'!J240,'CHUNG TU'!I240,""))</f>
      </c>
      <c r="G249" s="130">
        <f>IF($F$7='CHUNG TU'!I240,'CHUNG TU'!$L240,0)</f>
        <v>0</v>
      </c>
      <c r="H249" s="130">
        <f>IF($F$7='CHUNG TU'!J240,'CHUNG TU'!$L240,0)</f>
        <v>0</v>
      </c>
      <c r="I249" s="130">
        <f>IF(G249+H249&lt;&gt;0,$I$10+SUM($G$14:G249)-SUM($H$14:H249),0)</f>
        <v>0</v>
      </c>
    </row>
    <row r="250" spans="2:9" ht="14.25">
      <c r="B250" s="129">
        <f>IF($F250&lt;&gt;"",'CHUNG TU'!A241,"")</f>
      </c>
      <c r="C250" s="129">
        <f>IF($F250&lt;&gt;"",'CHUNG TU'!B241,"")</f>
      </c>
      <c r="D250" s="129">
        <f>IF($F250&lt;&gt;"",'CHUNG TU'!F241,"")</f>
      </c>
      <c r="E250" s="129">
        <f>IF($F250&lt;&gt;"",'CHUNG TU'!H241,"")</f>
      </c>
      <c r="F250" s="130">
        <f>IF($F$7='CHUNG TU'!I241,'CHUNG TU'!J241,IF($F$7='CHUNG TU'!J241,'CHUNG TU'!I241,""))</f>
      </c>
      <c r="G250" s="130">
        <f>IF($F$7='CHUNG TU'!I241,'CHUNG TU'!$L241,0)</f>
        <v>0</v>
      </c>
      <c r="H250" s="130">
        <f>IF($F$7='CHUNG TU'!J241,'CHUNG TU'!$L241,0)</f>
        <v>0</v>
      </c>
      <c r="I250" s="130">
        <f>IF(G250+H250&lt;&gt;0,$I$10+SUM($G$14:G250)-SUM($H$14:H250),0)</f>
        <v>0</v>
      </c>
    </row>
    <row r="251" spans="2:9" ht="14.25">
      <c r="B251" s="129">
        <f>IF($F251&lt;&gt;"",'CHUNG TU'!A242,"")</f>
      </c>
      <c r="C251" s="129">
        <f>IF($F251&lt;&gt;"",'CHUNG TU'!B242,"")</f>
      </c>
      <c r="D251" s="129">
        <f>IF($F251&lt;&gt;"",'CHUNG TU'!F242,"")</f>
      </c>
      <c r="E251" s="129">
        <f>IF($F251&lt;&gt;"",'CHUNG TU'!H242,"")</f>
      </c>
      <c r="F251" s="130">
        <f>IF($F$7='CHUNG TU'!I242,'CHUNG TU'!J242,IF($F$7='CHUNG TU'!J242,'CHUNG TU'!I242,""))</f>
      </c>
      <c r="G251" s="130">
        <f>IF($F$7='CHUNG TU'!I242,'CHUNG TU'!$L242,0)</f>
        <v>0</v>
      </c>
      <c r="H251" s="130">
        <f>IF($F$7='CHUNG TU'!J242,'CHUNG TU'!$L242,0)</f>
        <v>0</v>
      </c>
      <c r="I251" s="130">
        <f>IF(G251+H251&lt;&gt;0,$I$10+SUM($G$14:G251)-SUM($H$14:H251),0)</f>
        <v>0</v>
      </c>
    </row>
    <row r="252" spans="2:9" ht="14.25">
      <c r="B252" s="129">
        <f>IF($F252&lt;&gt;"",'CHUNG TU'!A243,"")</f>
      </c>
      <c r="C252" s="129">
        <f>IF($F252&lt;&gt;"",'CHUNG TU'!B243,"")</f>
      </c>
      <c r="D252" s="129">
        <f>IF($F252&lt;&gt;"",'CHUNG TU'!F243,"")</f>
      </c>
      <c r="E252" s="129">
        <f>IF($F252&lt;&gt;"",'CHUNG TU'!H243,"")</f>
      </c>
      <c r="F252" s="130">
        <f>IF($F$7='CHUNG TU'!I243,'CHUNG TU'!J243,IF($F$7='CHUNG TU'!J243,'CHUNG TU'!I243,""))</f>
      </c>
      <c r="G252" s="130">
        <f>IF($F$7='CHUNG TU'!I243,'CHUNG TU'!$L243,0)</f>
        <v>0</v>
      </c>
      <c r="H252" s="130">
        <f>IF($F$7='CHUNG TU'!J243,'CHUNG TU'!$L243,0)</f>
        <v>0</v>
      </c>
      <c r="I252" s="130">
        <f>IF(G252+H252&lt;&gt;0,$I$10+SUM($G$14:G252)-SUM($H$14:H252),0)</f>
        <v>0</v>
      </c>
    </row>
    <row r="253" spans="2:9" ht="14.25">
      <c r="B253" s="129">
        <f>IF($F253&lt;&gt;"",'CHUNG TU'!A244,"")</f>
      </c>
      <c r="C253" s="129">
        <f>IF($F253&lt;&gt;"",'CHUNG TU'!B244,"")</f>
      </c>
      <c r="D253" s="129">
        <f>IF($F253&lt;&gt;"",'CHUNG TU'!F244,"")</f>
      </c>
      <c r="E253" s="129">
        <f>IF($F253&lt;&gt;"",'CHUNG TU'!H244,"")</f>
      </c>
      <c r="F253" s="130">
        <f>IF($F$7='CHUNG TU'!I244,'CHUNG TU'!J244,IF($F$7='CHUNG TU'!J244,'CHUNG TU'!I244,""))</f>
      </c>
      <c r="G253" s="130">
        <f>IF($F$7='CHUNG TU'!I244,'CHUNG TU'!$L244,0)</f>
        <v>0</v>
      </c>
      <c r="H253" s="130">
        <f>IF($F$7='CHUNG TU'!J244,'CHUNG TU'!$L244,0)</f>
        <v>0</v>
      </c>
      <c r="I253" s="130">
        <f>IF(G253+H253&lt;&gt;0,$I$10+SUM($G$14:G253)-SUM($H$14:H253),0)</f>
        <v>0</v>
      </c>
    </row>
    <row r="254" spans="2:9" ht="14.25">
      <c r="B254" s="129">
        <f>IF($F254&lt;&gt;"",'CHUNG TU'!A245,"")</f>
      </c>
      <c r="C254" s="129">
        <f>IF($F254&lt;&gt;"",'CHUNG TU'!B245,"")</f>
      </c>
      <c r="D254" s="129">
        <f>IF($F254&lt;&gt;"",'CHUNG TU'!F245,"")</f>
      </c>
      <c r="E254" s="129">
        <f>IF($F254&lt;&gt;"",'CHUNG TU'!H245,"")</f>
      </c>
      <c r="F254" s="130">
        <f>IF($F$7='CHUNG TU'!I245,'CHUNG TU'!J245,IF($F$7='CHUNG TU'!J245,'CHUNG TU'!I245,""))</f>
      </c>
      <c r="G254" s="130">
        <f>IF($F$7='CHUNG TU'!I245,'CHUNG TU'!$L245,0)</f>
        <v>0</v>
      </c>
      <c r="H254" s="130">
        <f>IF($F$7='CHUNG TU'!J245,'CHUNG TU'!$L245,0)</f>
        <v>0</v>
      </c>
      <c r="I254" s="130">
        <f>IF(G254+H254&lt;&gt;0,$I$10+SUM($G$14:G254)-SUM($H$14:H254),0)</f>
        <v>0</v>
      </c>
    </row>
    <row r="255" spans="2:9" ht="14.25">
      <c r="B255" s="129">
        <f>IF($F255&lt;&gt;"",'CHUNG TU'!A246,"")</f>
      </c>
      <c r="C255" s="129">
        <f>IF($F255&lt;&gt;"",'CHUNG TU'!B246,"")</f>
      </c>
      <c r="D255" s="129">
        <f>IF($F255&lt;&gt;"",'CHUNG TU'!F246,"")</f>
      </c>
      <c r="E255" s="129">
        <f>IF($F255&lt;&gt;"",'CHUNG TU'!H246,"")</f>
      </c>
      <c r="F255" s="130">
        <f>IF($F$7='CHUNG TU'!I246,'CHUNG TU'!J246,IF($F$7='CHUNG TU'!J246,'CHUNG TU'!I246,""))</f>
      </c>
      <c r="G255" s="130">
        <f>IF($F$7='CHUNG TU'!I246,'CHUNG TU'!$L246,0)</f>
        <v>0</v>
      </c>
      <c r="H255" s="130">
        <f>IF($F$7='CHUNG TU'!J246,'CHUNG TU'!$L246,0)</f>
        <v>0</v>
      </c>
      <c r="I255" s="130">
        <f>IF(G255+H255&lt;&gt;0,$I$10+SUM($G$14:G255)-SUM($H$14:H255),0)</f>
        <v>0</v>
      </c>
    </row>
    <row r="256" spans="2:9" ht="14.25">
      <c r="B256" s="129">
        <f>IF($F256&lt;&gt;"",'CHUNG TU'!A247,"")</f>
      </c>
      <c r="C256" s="129">
        <f>IF($F256&lt;&gt;"",'CHUNG TU'!B247,"")</f>
      </c>
      <c r="D256" s="129">
        <f>IF($F256&lt;&gt;"",'CHUNG TU'!F247,"")</f>
      </c>
      <c r="E256" s="129">
        <f>IF($F256&lt;&gt;"",'CHUNG TU'!H247,"")</f>
      </c>
      <c r="F256" s="130">
        <f>IF($F$7='CHUNG TU'!I247,'CHUNG TU'!J247,IF($F$7='CHUNG TU'!J247,'CHUNG TU'!I247,""))</f>
      </c>
      <c r="G256" s="130">
        <f>IF($F$7='CHUNG TU'!I247,'CHUNG TU'!$L247,0)</f>
        <v>0</v>
      </c>
      <c r="H256" s="130">
        <f>IF($F$7='CHUNG TU'!J247,'CHUNG TU'!$L247,0)</f>
        <v>0</v>
      </c>
      <c r="I256" s="130">
        <f>IF(G256+H256&lt;&gt;0,$I$10+SUM($G$14:G256)-SUM($H$14:H256),0)</f>
        <v>0</v>
      </c>
    </row>
    <row r="257" spans="2:9" ht="14.25">
      <c r="B257" s="129">
        <f>IF($F257&lt;&gt;"",'CHUNG TU'!A248,"")</f>
      </c>
      <c r="C257" s="129">
        <f>IF($F257&lt;&gt;"",'CHUNG TU'!B248,"")</f>
      </c>
      <c r="D257" s="129">
        <f>IF($F257&lt;&gt;"",'CHUNG TU'!F248,"")</f>
      </c>
      <c r="E257" s="129">
        <f>IF($F257&lt;&gt;"",'CHUNG TU'!H248,"")</f>
      </c>
      <c r="F257" s="130">
        <f>IF($F$7='CHUNG TU'!I248,'CHUNG TU'!J248,IF($F$7='CHUNG TU'!J248,'CHUNG TU'!I248,""))</f>
      </c>
      <c r="G257" s="130">
        <f>IF($F$7='CHUNG TU'!I248,'CHUNG TU'!$L248,0)</f>
        <v>0</v>
      </c>
      <c r="H257" s="130">
        <f>IF($F$7='CHUNG TU'!J248,'CHUNG TU'!$L248,0)</f>
        <v>0</v>
      </c>
      <c r="I257" s="130">
        <f>IF(G257+H257&lt;&gt;0,$I$10+SUM($G$14:G257)-SUM($H$14:H257),0)</f>
        <v>0</v>
      </c>
    </row>
    <row r="258" spans="2:9" ht="14.25">
      <c r="B258" s="129">
        <f>IF($F258&lt;&gt;"",'CHUNG TU'!A249,"")</f>
      </c>
      <c r="C258" s="129">
        <f>IF($F258&lt;&gt;"",'CHUNG TU'!B249,"")</f>
      </c>
      <c r="D258" s="129">
        <f>IF($F258&lt;&gt;"",'CHUNG TU'!F249,"")</f>
      </c>
      <c r="E258" s="129">
        <f>IF($F258&lt;&gt;"",'CHUNG TU'!H249,"")</f>
      </c>
      <c r="F258" s="130">
        <f>IF($F$7='CHUNG TU'!I249,'CHUNG TU'!J249,IF($F$7='CHUNG TU'!J249,'CHUNG TU'!I249,""))</f>
      </c>
      <c r="G258" s="130">
        <f>IF($F$7='CHUNG TU'!I249,'CHUNG TU'!$L249,0)</f>
        <v>0</v>
      </c>
      <c r="H258" s="130">
        <f>IF($F$7='CHUNG TU'!J249,'CHUNG TU'!$L249,0)</f>
        <v>0</v>
      </c>
      <c r="I258" s="130">
        <f>IF(G258+H258&lt;&gt;0,$I$10+SUM($G$14:G258)-SUM($H$14:H258),0)</f>
        <v>0</v>
      </c>
    </row>
    <row r="259" spans="2:9" ht="14.25">
      <c r="B259" s="129">
        <f>IF($F259&lt;&gt;"",'CHUNG TU'!A250,"")</f>
      </c>
      <c r="C259" s="129">
        <f>IF($F259&lt;&gt;"",'CHUNG TU'!B250,"")</f>
      </c>
      <c r="D259" s="129">
        <f>IF($F259&lt;&gt;"",'CHUNG TU'!F250,"")</f>
      </c>
      <c r="E259" s="129">
        <f>IF($F259&lt;&gt;"",'CHUNG TU'!H250,"")</f>
      </c>
      <c r="F259" s="130">
        <f>IF($F$7='CHUNG TU'!I250,'CHUNG TU'!J250,IF($F$7='CHUNG TU'!J250,'CHUNG TU'!I250,""))</f>
      </c>
      <c r="G259" s="130">
        <f>IF($F$7='CHUNG TU'!I250,'CHUNG TU'!$L250,0)</f>
        <v>0</v>
      </c>
      <c r="H259" s="130">
        <f>IF($F$7='CHUNG TU'!J250,'CHUNG TU'!$L250,0)</f>
        <v>0</v>
      </c>
      <c r="I259" s="130">
        <f>IF(G259+H259&lt;&gt;0,$I$10+SUM($G$14:G259)-SUM($H$14:H259),0)</f>
        <v>0</v>
      </c>
    </row>
    <row r="260" spans="2:9" ht="14.25">
      <c r="B260" s="129">
        <f>IF($F260&lt;&gt;"",'CHUNG TU'!A251,"")</f>
      </c>
      <c r="C260" s="129">
        <f>IF($F260&lt;&gt;"",'CHUNG TU'!B251,"")</f>
      </c>
      <c r="D260" s="129">
        <f>IF($F260&lt;&gt;"",'CHUNG TU'!F251,"")</f>
      </c>
      <c r="E260" s="129">
        <f>IF($F260&lt;&gt;"",'CHUNG TU'!H251,"")</f>
      </c>
      <c r="F260" s="130">
        <f>IF($F$7='CHUNG TU'!I251,'CHUNG TU'!J251,IF($F$7='CHUNG TU'!J251,'CHUNG TU'!I251,""))</f>
      </c>
      <c r="G260" s="130">
        <f>IF($F$7='CHUNG TU'!I251,'CHUNG TU'!$L251,0)</f>
        <v>0</v>
      </c>
      <c r="H260" s="130">
        <f>IF($F$7='CHUNG TU'!J251,'CHUNG TU'!$L251,0)</f>
        <v>0</v>
      </c>
      <c r="I260" s="130">
        <f>IF(G260+H260&lt;&gt;0,$I$10+SUM($G$14:G260)-SUM($H$14:H260),0)</f>
        <v>0</v>
      </c>
    </row>
    <row r="261" spans="2:9" ht="14.25">
      <c r="B261" s="129">
        <f>IF($F261&lt;&gt;"",'CHUNG TU'!A252,"")</f>
      </c>
      <c r="C261" s="129">
        <f>IF($F261&lt;&gt;"",'CHUNG TU'!B252,"")</f>
      </c>
      <c r="D261" s="129">
        <f>IF($F261&lt;&gt;"",'CHUNG TU'!F252,"")</f>
      </c>
      <c r="E261" s="129">
        <f>IF($F261&lt;&gt;"",'CHUNG TU'!H252,"")</f>
      </c>
      <c r="F261" s="130">
        <f>IF($F$7='CHUNG TU'!I252,'CHUNG TU'!J252,IF($F$7='CHUNG TU'!J252,'CHUNG TU'!I252,""))</f>
      </c>
      <c r="G261" s="130">
        <f>IF($F$7='CHUNG TU'!I252,'CHUNG TU'!$L252,0)</f>
        <v>0</v>
      </c>
      <c r="H261" s="130">
        <f>IF($F$7='CHUNG TU'!J252,'CHUNG TU'!$L252,0)</f>
        <v>0</v>
      </c>
      <c r="I261" s="130">
        <f>IF(G261+H261&lt;&gt;0,$I$10+SUM($G$14:G261)-SUM($H$14:H261),0)</f>
        <v>0</v>
      </c>
    </row>
    <row r="262" spans="2:9" ht="14.25">
      <c r="B262" s="129">
        <f>IF($F262&lt;&gt;"",'CHUNG TU'!A253,"")</f>
      </c>
      <c r="C262" s="129">
        <f>IF($F262&lt;&gt;"",'CHUNG TU'!B253,"")</f>
      </c>
      <c r="D262" s="129">
        <f>IF($F262&lt;&gt;"",'CHUNG TU'!F253,"")</f>
      </c>
      <c r="E262" s="129">
        <f>IF($F262&lt;&gt;"",'CHUNG TU'!H253,"")</f>
      </c>
      <c r="F262" s="130">
        <f>IF($F$7='CHUNG TU'!I253,'CHUNG TU'!J253,IF($F$7='CHUNG TU'!J253,'CHUNG TU'!I253,""))</f>
      </c>
      <c r="G262" s="130">
        <f>IF($F$7='CHUNG TU'!I253,'CHUNG TU'!$L253,0)</f>
        <v>0</v>
      </c>
      <c r="H262" s="130">
        <f>IF($F$7='CHUNG TU'!J253,'CHUNG TU'!$L253,0)</f>
        <v>0</v>
      </c>
      <c r="I262" s="130">
        <f>IF(G262+H262&lt;&gt;0,$I$10+SUM($G$14:G262)-SUM($H$14:H262),0)</f>
        <v>0</v>
      </c>
    </row>
    <row r="263" spans="2:9" ht="14.25">
      <c r="B263" s="129">
        <f>IF($F263&lt;&gt;"",'CHUNG TU'!A254,"")</f>
      </c>
      <c r="C263" s="129">
        <f>IF($F263&lt;&gt;"",'CHUNG TU'!B254,"")</f>
      </c>
      <c r="D263" s="129">
        <f>IF($F263&lt;&gt;"",'CHUNG TU'!F254,"")</f>
      </c>
      <c r="E263" s="129">
        <f>IF($F263&lt;&gt;"",'CHUNG TU'!H254,"")</f>
      </c>
      <c r="F263" s="130">
        <f>IF($F$7='CHUNG TU'!I254,'CHUNG TU'!J254,IF($F$7='CHUNG TU'!J254,'CHUNG TU'!I254,""))</f>
      </c>
      <c r="G263" s="130">
        <f>IF($F$7='CHUNG TU'!I254,'CHUNG TU'!$L254,0)</f>
        <v>0</v>
      </c>
      <c r="H263" s="130">
        <f>IF($F$7='CHUNG TU'!J254,'CHUNG TU'!$L254,0)</f>
        <v>0</v>
      </c>
      <c r="I263" s="130">
        <f>IF(G263+H263&lt;&gt;0,$I$10+SUM($G$14:G263)-SUM($H$14:H263),0)</f>
        <v>0</v>
      </c>
    </row>
    <row r="264" spans="2:9" ht="14.25">
      <c r="B264" s="129">
        <f>IF($F264&lt;&gt;"",'CHUNG TU'!A255,"")</f>
      </c>
      <c r="C264" s="129">
        <f>IF($F264&lt;&gt;"",'CHUNG TU'!B255,"")</f>
      </c>
      <c r="D264" s="129">
        <f>IF($F264&lt;&gt;"",'CHUNG TU'!F255,"")</f>
      </c>
      <c r="E264" s="129">
        <f>IF($F264&lt;&gt;"",'CHUNG TU'!H255,"")</f>
      </c>
      <c r="F264" s="130">
        <f>IF($F$7='CHUNG TU'!I255,'CHUNG TU'!J255,IF($F$7='CHUNG TU'!J255,'CHUNG TU'!I255,""))</f>
      </c>
      <c r="G264" s="130">
        <f>IF($F$7='CHUNG TU'!I255,'CHUNG TU'!$L255,0)</f>
        <v>0</v>
      </c>
      <c r="H264" s="130">
        <f>IF($F$7='CHUNG TU'!J255,'CHUNG TU'!$L255,0)</f>
        <v>0</v>
      </c>
      <c r="I264" s="130">
        <f>IF(G264+H264&lt;&gt;0,$I$10+SUM($G$14:G264)-SUM($H$14:H264),0)</f>
        <v>0</v>
      </c>
    </row>
    <row r="265" spans="2:9" ht="14.25">
      <c r="B265" s="129">
        <f>IF($F265&lt;&gt;"",'CHUNG TU'!A256,"")</f>
      </c>
      <c r="C265" s="129">
        <f>IF($F265&lt;&gt;"",'CHUNG TU'!B256,"")</f>
      </c>
      <c r="D265" s="129">
        <f>IF($F265&lt;&gt;"",'CHUNG TU'!F256,"")</f>
      </c>
      <c r="E265" s="129">
        <f>IF($F265&lt;&gt;"",'CHUNG TU'!H256,"")</f>
      </c>
      <c r="F265" s="130">
        <f>IF($F$7='CHUNG TU'!I256,'CHUNG TU'!J256,IF($F$7='CHUNG TU'!J256,'CHUNG TU'!I256,""))</f>
      </c>
      <c r="G265" s="130">
        <f>IF($F$7='CHUNG TU'!I256,'CHUNG TU'!$L256,0)</f>
        <v>0</v>
      </c>
      <c r="H265" s="130">
        <f>IF($F$7='CHUNG TU'!J256,'CHUNG TU'!$L256,0)</f>
        <v>0</v>
      </c>
      <c r="I265" s="130">
        <f>IF(G265+H265&lt;&gt;0,$I$10+SUM($G$14:G265)-SUM($H$14:H265),0)</f>
        <v>0</v>
      </c>
    </row>
    <row r="266" spans="2:9" ht="14.25">
      <c r="B266" s="129">
        <f>IF($F266&lt;&gt;"",'CHUNG TU'!A257,"")</f>
      </c>
      <c r="C266" s="129">
        <f>IF($F266&lt;&gt;"",'CHUNG TU'!B257,"")</f>
      </c>
      <c r="D266" s="129">
        <f>IF($F266&lt;&gt;"",'CHUNG TU'!F257,"")</f>
      </c>
      <c r="E266" s="129">
        <f>IF($F266&lt;&gt;"",'CHUNG TU'!H257,"")</f>
      </c>
      <c r="F266" s="130">
        <f>IF($F$7='CHUNG TU'!I257,'CHUNG TU'!J257,IF($F$7='CHUNG TU'!J257,'CHUNG TU'!I257,""))</f>
      </c>
      <c r="G266" s="130">
        <f>IF($F$7='CHUNG TU'!I257,'CHUNG TU'!$L257,0)</f>
        <v>0</v>
      </c>
      <c r="H266" s="130">
        <f>IF($F$7='CHUNG TU'!J257,'CHUNG TU'!$L257,0)</f>
        <v>0</v>
      </c>
      <c r="I266" s="130">
        <f>IF(G266+H266&lt;&gt;0,$I$10+SUM($G$14:G266)-SUM($H$14:H266),0)</f>
        <v>0</v>
      </c>
    </row>
    <row r="267" spans="2:9" ht="14.25">
      <c r="B267" s="129">
        <f>IF($F267&lt;&gt;"",'CHUNG TU'!A258,"")</f>
      </c>
      <c r="C267" s="129">
        <f>IF($F267&lt;&gt;"",'CHUNG TU'!B258,"")</f>
      </c>
      <c r="D267" s="129">
        <f>IF($F267&lt;&gt;"",'CHUNG TU'!F258,"")</f>
      </c>
      <c r="E267" s="129">
        <f>IF($F267&lt;&gt;"",'CHUNG TU'!H258,"")</f>
      </c>
      <c r="F267" s="130">
        <f>IF($F$7='CHUNG TU'!I258,'CHUNG TU'!J258,IF($F$7='CHUNG TU'!J258,'CHUNG TU'!I258,""))</f>
      </c>
      <c r="G267" s="130">
        <f>IF($F$7='CHUNG TU'!I258,'CHUNG TU'!$L258,0)</f>
        <v>0</v>
      </c>
      <c r="H267" s="130">
        <f>IF($F$7='CHUNG TU'!J258,'CHUNG TU'!$L258,0)</f>
        <v>0</v>
      </c>
      <c r="I267" s="130">
        <f>IF(G267+H267&lt;&gt;0,$I$10+SUM($G$14:G267)-SUM($H$14:H267),0)</f>
        <v>0</v>
      </c>
    </row>
    <row r="268" spans="2:9" ht="14.25">
      <c r="B268" s="129">
        <f>IF($F268&lt;&gt;"",'CHUNG TU'!A259,"")</f>
      </c>
      <c r="C268" s="129">
        <f>IF($F268&lt;&gt;"",'CHUNG TU'!B259,"")</f>
      </c>
      <c r="D268" s="129">
        <f>IF($F268&lt;&gt;"",'CHUNG TU'!F259,"")</f>
      </c>
      <c r="E268" s="129">
        <f>IF($F268&lt;&gt;"",'CHUNG TU'!H259,"")</f>
      </c>
      <c r="F268" s="130">
        <f>IF($F$7='CHUNG TU'!I259,'CHUNG TU'!J259,IF($F$7='CHUNG TU'!J259,'CHUNG TU'!I259,""))</f>
      </c>
      <c r="G268" s="130">
        <f>IF($F$7='CHUNG TU'!I259,'CHUNG TU'!$L259,0)</f>
        <v>0</v>
      </c>
      <c r="H268" s="130">
        <f>IF($F$7='CHUNG TU'!J259,'CHUNG TU'!$L259,0)</f>
        <v>0</v>
      </c>
      <c r="I268" s="130">
        <f>IF(G268+H268&lt;&gt;0,$I$10+SUM($G$14:G268)-SUM($H$14:H268),0)</f>
        <v>0</v>
      </c>
    </row>
    <row r="269" spans="2:9" ht="14.25">
      <c r="B269" s="129">
        <f>IF($F269&lt;&gt;"",'CHUNG TU'!A260,"")</f>
      </c>
      <c r="C269" s="129">
        <f>IF($F269&lt;&gt;"",'CHUNG TU'!B260,"")</f>
      </c>
      <c r="D269" s="129">
        <f>IF($F269&lt;&gt;"",'CHUNG TU'!F260,"")</f>
      </c>
      <c r="E269" s="129">
        <f>IF($F269&lt;&gt;"",'CHUNG TU'!H260,"")</f>
      </c>
      <c r="F269" s="130">
        <f>IF($F$7='CHUNG TU'!I260,'CHUNG TU'!J260,IF($F$7='CHUNG TU'!J260,'CHUNG TU'!I260,""))</f>
      </c>
      <c r="G269" s="130">
        <f>IF($F$7='CHUNG TU'!I260,'CHUNG TU'!$L260,0)</f>
        <v>0</v>
      </c>
      <c r="H269" s="130">
        <f>IF($F$7='CHUNG TU'!J260,'CHUNG TU'!$L260,0)</f>
        <v>0</v>
      </c>
      <c r="I269" s="130">
        <f>IF(G269+H269&lt;&gt;0,$I$10+SUM($G$14:G269)-SUM($H$14:H269),0)</f>
        <v>0</v>
      </c>
    </row>
    <row r="270" spans="2:9" ht="14.25">
      <c r="B270" s="129">
        <f>IF($F270&lt;&gt;"",'CHUNG TU'!A261,"")</f>
      </c>
      <c r="C270" s="129">
        <f>IF($F270&lt;&gt;"",'CHUNG TU'!B261,"")</f>
      </c>
      <c r="D270" s="129">
        <f>IF($F270&lt;&gt;"",'CHUNG TU'!F261,"")</f>
      </c>
      <c r="E270" s="129">
        <f>IF($F270&lt;&gt;"",'CHUNG TU'!H261,"")</f>
      </c>
      <c r="F270" s="130">
        <f>IF($F$7='CHUNG TU'!I261,'CHUNG TU'!J261,IF($F$7='CHUNG TU'!J261,'CHUNG TU'!I261,""))</f>
      </c>
      <c r="G270" s="130">
        <f>IF($F$7='CHUNG TU'!I261,'CHUNG TU'!$L261,0)</f>
        <v>0</v>
      </c>
      <c r="H270" s="130">
        <f>IF($F$7='CHUNG TU'!J261,'CHUNG TU'!$L261,0)</f>
        <v>0</v>
      </c>
      <c r="I270" s="130">
        <f>IF(G270+H270&lt;&gt;0,$I$10+SUM($G$14:G270)-SUM($H$14:H270),0)</f>
        <v>0</v>
      </c>
    </row>
    <row r="271" spans="2:9" ht="14.25">
      <c r="B271" s="129">
        <f>IF($F271&lt;&gt;"",'CHUNG TU'!A262,"")</f>
      </c>
      <c r="C271" s="129">
        <f>IF($F271&lt;&gt;"",'CHUNG TU'!B262,"")</f>
      </c>
      <c r="D271" s="129">
        <f>IF($F271&lt;&gt;"",'CHUNG TU'!F262,"")</f>
      </c>
      <c r="E271" s="129">
        <f>IF($F271&lt;&gt;"",'CHUNG TU'!H262,"")</f>
      </c>
      <c r="F271" s="130">
        <f>IF($F$7='CHUNG TU'!I262,'CHUNG TU'!J262,IF($F$7='CHUNG TU'!J262,'CHUNG TU'!I262,""))</f>
      </c>
      <c r="G271" s="130">
        <f>IF($F$7='CHUNG TU'!I262,'CHUNG TU'!$L262,0)</f>
        <v>0</v>
      </c>
      <c r="H271" s="130">
        <f>IF($F$7='CHUNG TU'!J262,'CHUNG TU'!$L262,0)</f>
        <v>0</v>
      </c>
      <c r="I271" s="130">
        <f>IF(G271+H271&lt;&gt;0,$I$10+SUM($G$14:G271)-SUM($H$14:H271),0)</f>
        <v>0</v>
      </c>
    </row>
    <row r="272" spans="2:9" ht="14.25">
      <c r="B272" s="129">
        <f>IF($F272&lt;&gt;"",'CHUNG TU'!A263,"")</f>
      </c>
      <c r="C272" s="129">
        <f>IF($F272&lt;&gt;"",'CHUNG TU'!B263,"")</f>
      </c>
      <c r="D272" s="129">
        <f>IF($F272&lt;&gt;"",'CHUNG TU'!F263,"")</f>
      </c>
      <c r="E272" s="129">
        <f>IF($F272&lt;&gt;"",'CHUNG TU'!H263,"")</f>
      </c>
      <c r="F272" s="130">
        <f>IF($F$7='CHUNG TU'!I263,'CHUNG TU'!J263,IF($F$7='CHUNG TU'!J263,'CHUNG TU'!I263,""))</f>
      </c>
      <c r="G272" s="130">
        <f>IF($F$7='CHUNG TU'!I263,'CHUNG TU'!$L263,0)</f>
        <v>0</v>
      </c>
      <c r="H272" s="130">
        <f>IF($F$7='CHUNG TU'!J263,'CHUNG TU'!$L263,0)</f>
        <v>0</v>
      </c>
      <c r="I272" s="130">
        <f>IF(G272+H272&lt;&gt;0,$I$10+SUM($G$14:G272)-SUM($H$14:H272),0)</f>
        <v>0</v>
      </c>
    </row>
    <row r="273" spans="2:9" ht="14.25">
      <c r="B273" s="129">
        <f>IF($F273&lt;&gt;"",'CHUNG TU'!A264,"")</f>
      </c>
      <c r="C273" s="129">
        <f>IF($F273&lt;&gt;"",'CHUNG TU'!B264,"")</f>
      </c>
      <c r="D273" s="129">
        <f>IF($F273&lt;&gt;"",'CHUNG TU'!F264,"")</f>
      </c>
      <c r="E273" s="129">
        <f>IF($F273&lt;&gt;"",'CHUNG TU'!H264,"")</f>
      </c>
      <c r="F273" s="130">
        <f>IF($F$7='CHUNG TU'!I264,'CHUNG TU'!J264,IF($F$7='CHUNG TU'!J264,'CHUNG TU'!I264,""))</f>
      </c>
      <c r="G273" s="130">
        <f>IF($F$7='CHUNG TU'!I264,'CHUNG TU'!$L264,0)</f>
        <v>0</v>
      </c>
      <c r="H273" s="130">
        <f>IF($F$7='CHUNG TU'!J264,'CHUNG TU'!$L264,0)</f>
        <v>0</v>
      </c>
      <c r="I273" s="130">
        <f>IF(G273+H273&lt;&gt;0,$I$10+SUM($G$14:G273)-SUM($H$14:H273),0)</f>
        <v>0</v>
      </c>
    </row>
    <row r="274" spans="2:9" ht="14.25">
      <c r="B274" s="129">
        <f>IF($F274&lt;&gt;"",'CHUNG TU'!A265,"")</f>
      </c>
      <c r="C274" s="129">
        <f>IF($F274&lt;&gt;"",'CHUNG TU'!B265,"")</f>
      </c>
      <c r="D274" s="129">
        <f>IF($F274&lt;&gt;"",'CHUNG TU'!F265,"")</f>
      </c>
      <c r="E274" s="129">
        <f>IF($F274&lt;&gt;"",'CHUNG TU'!H265,"")</f>
      </c>
      <c r="F274" s="130">
        <f>IF($F$7='CHUNG TU'!I265,'CHUNG TU'!J265,IF($F$7='CHUNG TU'!J265,'CHUNG TU'!I265,""))</f>
      </c>
      <c r="G274" s="130">
        <f>IF($F$7='CHUNG TU'!I265,'CHUNG TU'!$L265,0)</f>
        <v>0</v>
      </c>
      <c r="H274" s="130">
        <f>IF($F$7='CHUNG TU'!J265,'CHUNG TU'!$L265,0)</f>
        <v>0</v>
      </c>
      <c r="I274" s="130">
        <f>IF(G274+H274&lt;&gt;0,$I$10+SUM($G$14:G274)-SUM($H$14:H274),0)</f>
        <v>0</v>
      </c>
    </row>
    <row r="275" spans="2:9" ht="14.25">
      <c r="B275" s="129">
        <f>IF($F275&lt;&gt;"",'CHUNG TU'!A266,"")</f>
      </c>
      <c r="C275" s="129">
        <f>IF($F275&lt;&gt;"",'CHUNG TU'!B266,"")</f>
      </c>
      <c r="D275" s="129">
        <f>IF($F275&lt;&gt;"",'CHUNG TU'!F266,"")</f>
      </c>
      <c r="E275" s="129">
        <f>IF($F275&lt;&gt;"",'CHUNG TU'!H266,"")</f>
      </c>
      <c r="F275" s="130">
        <f>IF($F$7='CHUNG TU'!I266,'CHUNG TU'!J266,IF($F$7='CHUNG TU'!J266,'CHUNG TU'!I266,""))</f>
      </c>
      <c r="G275" s="130">
        <f>IF($F$7='CHUNG TU'!I266,'CHUNG TU'!$L266,0)</f>
        <v>0</v>
      </c>
      <c r="H275" s="130">
        <f>IF($F$7='CHUNG TU'!J266,'CHUNG TU'!$L266,0)</f>
        <v>0</v>
      </c>
      <c r="I275" s="130">
        <f>IF(G275+H275&lt;&gt;0,$I$10+SUM($G$14:G275)-SUM($H$14:H275),0)</f>
        <v>0</v>
      </c>
    </row>
    <row r="276" spans="2:9" ht="14.25">
      <c r="B276" s="129">
        <f>IF($F276&lt;&gt;"",'CHUNG TU'!A267,"")</f>
      </c>
      <c r="C276" s="129">
        <f>IF($F276&lt;&gt;"",'CHUNG TU'!B267,"")</f>
      </c>
      <c r="D276" s="129">
        <f>IF($F276&lt;&gt;"",'CHUNG TU'!F267,"")</f>
      </c>
      <c r="E276" s="129">
        <f>IF($F276&lt;&gt;"",'CHUNG TU'!H267,"")</f>
      </c>
      <c r="F276" s="130">
        <f>IF($F$7='CHUNG TU'!I267,'CHUNG TU'!J267,IF($F$7='CHUNG TU'!J267,'CHUNG TU'!I267,""))</f>
      </c>
      <c r="G276" s="130">
        <f>IF($F$7='CHUNG TU'!I267,'CHUNG TU'!$L267,0)</f>
        <v>0</v>
      </c>
      <c r="H276" s="130">
        <f>IF($F$7='CHUNG TU'!J267,'CHUNG TU'!$L267,0)</f>
        <v>0</v>
      </c>
      <c r="I276" s="130">
        <f>IF(G276+H276&lt;&gt;0,$I$10+SUM($G$14:G276)-SUM($H$14:H276),0)</f>
        <v>0</v>
      </c>
    </row>
    <row r="277" spans="2:9" ht="14.25">
      <c r="B277" s="129">
        <f>IF($F277&lt;&gt;"",'CHUNG TU'!A268,"")</f>
      </c>
      <c r="C277" s="129">
        <f>IF($F277&lt;&gt;"",'CHUNG TU'!B268,"")</f>
      </c>
      <c r="D277" s="129">
        <f>IF($F277&lt;&gt;"",'CHUNG TU'!F268,"")</f>
      </c>
      <c r="E277" s="129">
        <f>IF($F277&lt;&gt;"",'CHUNG TU'!H268,"")</f>
      </c>
      <c r="F277" s="130">
        <f>IF($F$7='CHUNG TU'!I268,'CHUNG TU'!J268,IF($F$7='CHUNG TU'!J268,'CHUNG TU'!I268,""))</f>
      </c>
      <c r="G277" s="130">
        <f>IF($F$7='CHUNG TU'!I268,'CHUNG TU'!$L268,0)</f>
        <v>0</v>
      </c>
      <c r="H277" s="130">
        <f>IF($F$7='CHUNG TU'!J268,'CHUNG TU'!$L268,0)</f>
        <v>0</v>
      </c>
      <c r="I277" s="130">
        <f>IF(G277+H277&lt;&gt;0,$I$10+SUM($G$14:G277)-SUM($H$14:H277),0)</f>
        <v>0</v>
      </c>
    </row>
    <row r="278" spans="2:9" ht="14.25">
      <c r="B278" s="129">
        <f>IF($F278&lt;&gt;"",'CHUNG TU'!A269,"")</f>
      </c>
      <c r="C278" s="129">
        <f>IF($F278&lt;&gt;"",'CHUNG TU'!B269,"")</f>
      </c>
      <c r="D278" s="129">
        <f>IF($F278&lt;&gt;"",'CHUNG TU'!F269,"")</f>
      </c>
      <c r="E278" s="129">
        <f>IF($F278&lt;&gt;"",'CHUNG TU'!H269,"")</f>
      </c>
      <c r="F278" s="130">
        <f>IF($F$7='CHUNG TU'!I269,'CHUNG TU'!J269,IF($F$7='CHUNG TU'!J269,'CHUNG TU'!I269,""))</f>
      </c>
      <c r="G278" s="130">
        <f>IF($F$7='CHUNG TU'!I269,'CHUNG TU'!$L269,0)</f>
        <v>0</v>
      </c>
      <c r="H278" s="130">
        <f>IF($F$7='CHUNG TU'!J269,'CHUNG TU'!$L269,0)</f>
        <v>0</v>
      </c>
      <c r="I278" s="130">
        <f>IF(G278+H278&lt;&gt;0,$I$10+SUM($G$14:G278)-SUM($H$14:H278),0)</f>
        <v>0</v>
      </c>
    </row>
    <row r="279" spans="2:9" ht="14.25">
      <c r="B279" s="129">
        <f>IF($F279&lt;&gt;"",'CHUNG TU'!A270,"")</f>
      </c>
      <c r="C279" s="129">
        <f>IF($F279&lt;&gt;"",'CHUNG TU'!B270,"")</f>
      </c>
      <c r="D279" s="129">
        <f>IF($F279&lt;&gt;"",'CHUNG TU'!F270,"")</f>
      </c>
      <c r="E279" s="129">
        <f>IF($F279&lt;&gt;"",'CHUNG TU'!H270,"")</f>
      </c>
      <c r="F279" s="130">
        <f>IF($F$7='CHUNG TU'!I270,'CHUNG TU'!J270,IF($F$7='CHUNG TU'!J270,'CHUNG TU'!I270,""))</f>
      </c>
      <c r="G279" s="130">
        <f>IF($F$7='CHUNG TU'!I270,'CHUNG TU'!$L270,0)</f>
        <v>0</v>
      </c>
      <c r="H279" s="130">
        <f>IF($F$7='CHUNG TU'!J270,'CHUNG TU'!$L270,0)</f>
        <v>0</v>
      </c>
      <c r="I279" s="130">
        <f>IF(G279+H279&lt;&gt;0,$I$10+SUM($G$14:G279)-SUM($H$14:H279),0)</f>
        <v>0</v>
      </c>
    </row>
    <row r="280" spans="2:9" ht="14.25">
      <c r="B280" s="129">
        <f>IF($F280&lt;&gt;"",'CHUNG TU'!A271,"")</f>
      </c>
      <c r="C280" s="129">
        <f>IF($F280&lt;&gt;"",'CHUNG TU'!B271,"")</f>
      </c>
      <c r="D280" s="129">
        <f>IF($F280&lt;&gt;"",'CHUNG TU'!F271,"")</f>
      </c>
      <c r="E280" s="129">
        <f>IF($F280&lt;&gt;"",'CHUNG TU'!H271,"")</f>
      </c>
      <c r="F280" s="130">
        <f>IF($F$7='CHUNG TU'!I271,'CHUNG TU'!J271,IF($F$7='CHUNG TU'!J271,'CHUNG TU'!I271,""))</f>
      </c>
      <c r="G280" s="130">
        <f>IF($F$7='CHUNG TU'!I271,'CHUNG TU'!$L271,0)</f>
        <v>0</v>
      </c>
      <c r="H280" s="130">
        <f>IF($F$7='CHUNG TU'!J271,'CHUNG TU'!$L271,0)</f>
        <v>0</v>
      </c>
      <c r="I280" s="130">
        <f>IF(G280+H280&lt;&gt;0,$I$10+SUM($G$14:G280)-SUM($H$14:H280),0)</f>
        <v>0</v>
      </c>
    </row>
    <row r="281" spans="2:9" ht="14.25">
      <c r="B281" s="129">
        <f>IF($F281&lt;&gt;"",'CHUNG TU'!A272,"")</f>
      </c>
      <c r="C281" s="129">
        <f>IF($F281&lt;&gt;"",'CHUNG TU'!B272,"")</f>
      </c>
      <c r="D281" s="129">
        <f>IF($F281&lt;&gt;"",'CHUNG TU'!F272,"")</f>
      </c>
      <c r="E281" s="129">
        <f>IF($F281&lt;&gt;"",'CHUNG TU'!H272,"")</f>
      </c>
      <c r="F281" s="130">
        <f>IF($F$7='CHUNG TU'!I272,'CHUNG TU'!J272,IF($F$7='CHUNG TU'!J272,'CHUNG TU'!I272,""))</f>
      </c>
      <c r="G281" s="130">
        <f>IF($F$7='CHUNG TU'!I272,'CHUNG TU'!$L272,0)</f>
        <v>0</v>
      </c>
      <c r="H281" s="130">
        <f>IF($F$7='CHUNG TU'!J272,'CHUNG TU'!$L272,0)</f>
        <v>0</v>
      </c>
      <c r="I281" s="130">
        <f>IF(G281+H281&lt;&gt;0,$I$10+SUM($G$14:G281)-SUM($H$14:H281),0)</f>
        <v>0</v>
      </c>
    </row>
    <row r="282" spans="2:9" ht="14.25">
      <c r="B282" s="129">
        <f>IF($F282&lt;&gt;"",'CHUNG TU'!A273,"")</f>
      </c>
      <c r="C282" s="129">
        <f>IF($F282&lt;&gt;"",'CHUNG TU'!B273,"")</f>
      </c>
      <c r="D282" s="129">
        <f>IF($F282&lt;&gt;"",'CHUNG TU'!F273,"")</f>
      </c>
      <c r="E282" s="129">
        <f>IF($F282&lt;&gt;"",'CHUNG TU'!H273,"")</f>
      </c>
      <c r="F282" s="130">
        <f>IF($F$7='CHUNG TU'!I273,'CHUNG TU'!J273,IF($F$7='CHUNG TU'!J273,'CHUNG TU'!I273,""))</f>
      </c>
      <c r="G282" s="130">
        <f>IF($F$7='CHUNG TU'!I273,'CHUNG TU'!$L273,0)</f>
        <v>0</v>
      </c>
      <c r="H282" s="130">
        <f>IF($F$7='CHUNG TU'!J273,'CHUNG TU'!$L273,0)</f>
        <v>0</v>
      </c>
      <c r="I282" s="130">
        <f>IF(G282+H282&lt;&gt;0,$I$10+SUM($G$14:G282)-SUM($H$14:H282),0)</f>
        <v>0</v>
      </c>
    </row>
    <row r="283" spans="2:9" ht="14.25">
      <c r="B283" s="129">
        <f>IF($F283&lt;&gt;"",'CHUNG TU'!A274,"")</f>
      </c>
      <c r="C283" s="129">
        <f>IF($F283&lt;&gt;"",'CHUNG TU'!B274,"")</f>
      </c>
      <c r="D283" s="129">
        <f>IF($F283&lt;&gt;"",'CHUNG TU'!F274,"")</f>
      </c>
      <c r="E283" s="129">
        <f>IF($F283&lt;&gt;"",'CHUNG TU'!H274,"")</f>
      </c>
      <c r="F283" s="130">
        <f>IF($F$7='CHUNG TU'!I274,'CHUNG TU'!J274,IF($F$7='CHUNG TU'!J274,'CHUNG TU'!I274,""))</f>
      </c>
      <c r="G283" s="130">
        <f>IF($F$7='CHUNG TU'!I274,'CHUNG TU'!$L274,0)</f>
        <v>0</v>
      </c>
      <c r="H283" s="130">
        <f>IF($F$7='CHUNG TU'!J274,'CHUNG TU'!$L274,0)</f>
        <v>0</v>
      </c>
      <c r="I283" s="130">
        <f>IF(G283+H283&lt;&gt;0,$I$10+SUM($G$14:G283)-SUM($H$14:H283),0)</f>
        <v>0</v>
      </c>
    </row>
    <row r="284" spans="2:9" ht="14.25">
      <c r="B284" s="129">
        <f>IF($F284&lt;&gt;"",'CHUNG TU'!A275,"")</f>
      </c>
      <c r="C284" s="129">
        <f>IF($F284&lt;&gt;"",'CHUNG TU'!B275,"")</f>
      </c>
      <c r="D284" s="129">
        <f>IF($F284&lt;&gt;"",'CHUNG TU'!F275,"")</f>
      </c>
      <c r="E284" s="129">
        <f>IF($F284&lt;&gt;"",'CHUNG TU'!H275,"")</f>
      </c>
      <c r="F284" s="130">
        <f>IF($F$7='CHUNG TU'!I275,'CHUNG TU'!J275,IF($F$7='CHUNG TU'!J275,'CHUNG TU'!I275,""))</f>
      </c>
      <c r="G284" s="130">
        <f>IF($F$7='CHUNG TU'!I275,'CHUNG TU'!$L275,0)</f>
        <v>0</v>
      </c>
      <c r="H284" s="130">
        <f>IF($F$7='CHUNG TU'!J275,'CHUNG TU'!$L275,0)</f>
        <v>0</v>
      </c>
      <c r="I284" s="130">
        <f>IF(G284+H284&lt;&gt;0,$I$10+SUM($G$14:G284)-SUM($H$14:H284),0)</f>
        <v>0</v>
      </c>
    </row>
    <row r="285" spans="2:9" ht="14.25">
      <c r="B285" s="129">
        <f>IF($F285&lt;&gt;"",'CHUNG TU'!A276,"")</f>
      </c>
      <c r="C285" s="129">
        <f>IF($F285&lt;&gt;"",'CHUNG TU'!B276,"")</f>
      </c>
      <c r="D285" s="129">
        <f>IF($F285&lt;&gt;"",'CHUNG TU'!F276,"")</f>
      </c>
      <c r="E285" s="129">
        <f>IF($F285&lt;&gt;"",'CHUNG TU'!H276,"")</f>
      </c>
      <c r="F285" s="130">
        <f>IF($F$7='CHUNG TU'!I276,'CHUNG TU'!J276,IF($F$7='CHUNG TU'!J276,'CHUNG TU'!I276,""))</f>
      </c>
      <c r="G285" s="130">
        <f>IF($F$7='CHUNG TU'!I276,'CHUNG TU'!$L276,0)</f>
        <v>0</v>
      </c>
      <c r="H285" s="130">
        <f>IF($F$7='CHUNG TU'!J276,'CHUNG TU'!$L276,0)</f>
        <v>0</v>
      </c>
      <c r="I285" s="130">
        <f>IF(G285+H285&lt;&gt;0,$I$10+SUM($G$14:G285)-SUM($H$14:H285),0)</f>
        <v>0</v>
      </c>
    </row>
    <row r="286" spans="2:9" ht="14.25">
      <c r="B286" s="129">
        <f>IF($F286&lt;&gt;"",'CHUNG TU'!A277,"")</f>
      </c>
      <c r="C286" s="129">
        <f>IF($F286&lt;&gt;"",'CHUNG TU'!B277,"")</f>
      </c>
      <c r="D286" s="129">
        <f>IF($F286&lt;&gt;"",'CHUNG TU'!F277,"")</f>
      </c>
      <c r="E286" s="129">
        <f>IF($F286&lt;&gt;"",'CHUNG TU'!H277,"")</f>
      </c>
      <c r="F286" s="130">
        <f>IF($F$7='CHUNG TU'!I277,'CHUNG TU'!J277,IF($F$7='CHUNG TU'!J277,'CHUNG TU'!I277,""))</f>
      </c>
      <c r="G286" s="130">
        <f>IF($F$7='CHUNG TU'!I277,'CHUNG TU'!$L277,0)</f>
        <v>0</v>
      </c>
      <c r="H286" s="130">
        <f>IF($F$7='CHUNG TU'!J277,'CHUNG TU'!$L277,0)</f>
        <v>0</v>
      </c>
      <c r="I286" s="130">
        <f>IF(G286+H286&lt;&gt;0,$I$10+SUM($G$14:G286)-SUM($H$14:H286),0)</f>
        <v>0</v>
      </c>
    </row>
    <row r="287" spans="2:9" ht="14.25">
      <c r="B287" s="129">
        <f>IF($F287&lt;&gt;"",'CHUNG TU'!A278,"")</f>
      </c>
      <c r="C287" s="129">
        <f>IF($F287&lt;&gt;"",'CHUNG TU'!B278,"")</f>
      </c>
      <c r="D287" s="129">
        <f>IF($F287&lt;&gt;"",'CHUNG TU'!F278,"")</f>
      </c>
      <c r="E287" s="129">
        <f>IF($F287&lt;&gt;"",'CHUNG TU'!H278,"")</f>
      </c>
      <c r="F287" s="130">
        <f>IF($F$7='CHUNG TU'!I278,'CHUNG TU'!J278,IF($F$7='CHUNG TU'!J278,'CHUNG TU'!I278,""))</f>
      </c>
      <c r="G287" s="130">
        <f>IF($F$7='CHUNG TU'!I278,'CHUNG TU'!$L278,0)</f>
        <v>0</v>
      </c>
      <c r="H287" s="130">
        <f>IF($F$7='CHUNG TU'!J278,'CHUNG TU'!$L278,0)</f>
        <v>0</v>
      </c>
      <c r="I287" s="130">
        <f>IF(G287+H287&lt;&gt;0,$I$10+SUM($G$14:G287)-SUM($H$14:H287),0)</f>
        <v>0</v>
      </c>
    </row>
    <row r="288" spans="2:9" ht="14.25">
      <c r="B288" s="129">
        <f>IF($F288&lt;&gt;"",'CHUNG TU'!A279,"")</f>
      </c>
      <c r="C288" s="129">
        <f>IF($F288&lt;&gt;"",'CHUNG TU'!B279,"")</f>
      </c>
      <c r="D288" s="129">
        <f>IF($F288&lt;&gt;"",'CHUNG TU'!F279,"")</f>
      </c>
      <c r="E288" s="129">
        <f>IF($F288&lt;&gt;"",'CHUNG TU'!H279,"")</f>
      </c>
      <c r="F288" s="130">
        <f>IF($F$7='CHUNG TU'!I279,'CHUNG TU'!J279,IF($F$7='CHUNG TU'!J279,'CHUNG TU'!I279,""))</f>
      </c>
      <c r="G288" s="130">
        <f>IF($F$7='CHUNG TU'!I279,'CHUNG TU'!$L279,0)</f>
        <v>0</v>
      </c>
      <c r="H288" s="130">
        <f>IF($F$7='CHUNG TU'!J279,'CHUNG TU'!$L279,0)</f>
        <v>0</v>
      </c>
      <c r="I288" s="130">
        <f>IF(G288+H288&lt;&gt;0,$I$10+SUM($G$14:G288)-SUM($H$14:H288),0)</f>
        <v>0</v>
      </c>
    </row>
    <row r="289" spans="2:9" ht="14.25">
      <c r="B289" s="129">
        <f>IF($F289&lt;&gt;"",'CHUNG TU'!A280,"")</f>
      </c>
      <c r="C289" s="129">
        <f>IF($F289&lt;&gt;"",'CHUNG TU'!B280,"")</f>
      </c>
      <c r="D289" s="129">
        <f>IF($F289&lt;&gt;"",'CHUNG TU'!F280,"")</f>
      </c>
      <c r="E289" s="129">
        <f>IF($F289&lt;&gt;"",'CHUNG TU'!H280,"")</f>
      </c>
      <c r="F289" s="130">
        <f>IF($F$7='CHUNG TU'!I280,'CHUNG TU'!J280,IF($F$7='CHUNG TU'!J280,'CHUNG TU'!I280,""))</f>
      </c>
      <c r="G289" s="130">
        <f>IF($F$7='CHUNG TU'!I280,'CHUNG TU'!$L280,0)</f>
        <v>0</v>
      </c>
      <c r="H289" s="130">
        <f>IF($F$7='CHUNG TU'!J280,'CHUNG TU'!$L280,0)</f>
        <v>0</v>
      </c>
      <c r="I289" s="130">
        <f>IF(G289+H289&lt;&gt;0,$I$10+SUM($G$14:G289)-SUM($H$14:H289),0)</f>
        <v>0</v>
      </c>
    </row>
    <row r="290" spans="2:9" ht="14.25">
      <c r="B290" s="129">
        <f>IF($F290&lt;&gt;"",'CHUNG TU'!A281,"")</f>
      </c>
      <c r="C290" s="129">
        <f>IF($F290&lt;&gt;"",'CHUNG TU'!B281,"")</f>
      </c>
      <c r="D290" s="129">
        <f>IF($F290&lt;&gt;"",'CHUNG TU'!F281,"")</f>
      </c>
      <c r="E290" s="129">
        <f>IF($F290&lt;&gt;"",'CHUNG TU'!H281,"")</f>
      </c>
      <c r="F290" s="130">
        <f>IF($F$7='CHUNG TU'!I281,'CHUNG TU'!J281,IF($F$7='CHUNG TU'!J281,'CHUNG TU'!I281,""))</f>
      </c>
      <c r="G290" s="130">
        <f>IF($F$7='CHUNG TU'!I281,'CHUNG TU'!$L281,0)</f>
        <v>0</v>
      </c>
      <c r="H290" s="130">
        <f>IF($F$7='CHUNG TU'!J281,'CHUNG TU'!$L281,0)</f>
        <v>0</v>
      </c>
      <c r="I290" s="130">
        <f>IF(G290+H290&lt;&gt;0,$I$10+SUM($G$14:G290)-SUM($H$14:H290),0)</f>
        <v>0</v>
      </c>
    </row>
    <row r="291" spans="2:9" ht="14.25">
      <c r="B291" s="129">
        <f>IF($F291&lt;&gt;"",'CHUNG TU'!A282,"")</f>
      </c>
      <c r="C291" s="129">
        <f>IF($F291&lt;&gt;"",'CHUNG TU'!B282,"")</f>
      </c>
      <c r="D291" s="129">
        <f>IF($F291&lt;&gt;"",'CHUNG TU'!F282,"")</f>
      </c>
      <c r="E291" s="129">
        <f>IF($F291&lt;&gt;"",'CHUNG TU'!H282,"")</f>
      </c>
      <c r="F291" s="130">
        <f>IF($F$7='CHUNG TU'!I282,'CHUNG TU'!J282,IF($F$7='CHUNG TU'!J282,'CHUNG TU'!I282,""))</f>
      </c>
      <c r="G291" s="130">
        <f>IF($F$7='CHUNG TU'!I282,'CHUNG TU'!$L282,0)</f>
        <v>0</v>
      </c>
      <c r="H291" s="130">
        <f>IF($F$7='CHUNG TU'!J282,'CHUNG TU'!$L282,0)</f>
        <v>0</v>
      </c>
      <c r="I291" s="130">
        <f>IF(G291+H291&lt;&gt;0,$I$10+SUM($G$14:G291)-SUM($H$14:H291),0)</f>
        <v>0</v>
      </c>
    </row>
    <row r="292" spans="2:9" ht="14.25">
      <c r="B292" s="129">
        <f>IF($F292&lt;&gt;"",'CHUNG TU'!A283,"")</f>
      </c>
      <c r="C292" s="129">
        <f>IF($F292&lt;&gt;"",'CHUNG TU'!B283,"")</f>
      </c>
      <c r="D292" s="129">
        <f>IF($F292&lt;&gt;"",'CHUNG TU'!F283,"")</f>
      </c>
      <c r="E292" s="129">
        <f>IF($F292&lt;&gt;"",'CHUNG TU'!H283,"")</f>
      </c>
      <c r="F292" s="130">
        <f>IF($F$7='CHUNG TU'!I283,'CHUNG TU'!J283,IF($F$7='CHUNG TU'!J283,'CHUNG TU'!I283,""))</f>
      </c>
      <c r="G292" s="130">
        <f>IF($F$7='CHUNG TU'!I283,'CHUNG TU'!$L283,0)</f>
        <v>0</v>
      </c>
      <c r="H292" s="130">
        <f>IF($F$7='CHUNG TU'!J283,'CHUNG TU'!$L283,0)</f>
        <v>0</v>
      </c>
      <c r="I292" s="130">
        <f>IF(G292+H292&lt;&gt;0,$I$10+SUM($G$14:G292)-SUM($H$14:H292),0)</f>
        <v>0</v>
      </c>
    </row>
    <row r="293" spans="2:9" ht="14.25">
      <c r="B293" s="129">
        <f>IF($F293&lt;&gt;"",'CHUNG TU'!A284,"")</f>
      </c>
      <c r="C293" s="129">
        <f>IF($F293&lt;&gt;"",'CHUNG TU'!B284,"")</f>
      </c>
      <c r="D293" s="129">
        <f>IF($F293&lt;&gt;"",'CHUNG TU'!F284,"")</f>
      </c>
      <c r="E293" s="129">
        <f>IF($F293&lt;&gt;"",'CHUNG TU'!H284,"")</f>
      </c>
      <c r="F293" s="130">
        <f>IF($F$7='CHUNG TU'!I284,'CHUNG TU'!J284,IF($F$7='CHUNG TU'!J284,'CHUNG TU'!I284,""))</f>
      </c>
      <c r="G293" s="130">
        <f>IF($F$7='CHUNG TU'!I284,'CHUNG TU'!$L284,0)</f>
        <v>0</v>
      </c>
      <c r="H293" s="130">
        <f>IF($F$7='CHUNG TU'!J284,'CHUNG TU'!$L284,0)</f>
        <v>0</v>
      </c>
      <c r="I293" s="130">
        <f>IF(G293+H293&lt;&gt;0,$I$10+SUM($G$14:G293)-SUM($H$14:H293),0)</f>
        <v>0</v>
      </c>
    </row>
    <row r="294" spans="2:9" ht="14.25">
      <c r="B294" s="129">
        <f>IF($F294&lt;&gt;"",'CHUNG TU'!A285,"")</f>
      </c>
      <c r="C294" s="129">
        <f>IF($F294&lt;&gt;"",'CHUNG TU'!B285,"")</f>
      </c>
      <c r="D294" s="129">
        <f>IF($F294&lt;&gt;"",'CHUNG TU'!F285,"")</f>
      </c>
      <c r="E294" s="129">
        <f>IF($F294&lt;&gt;"",'CHUNG TU'!H285,"")</f>
      </c>
      <c r="F294" s="130">
        <f>IF($F$7='CHUNG TU'!I285,'CHUNG TU'!J285,IF($F$7='CHUNG TU'!J285,'CHUNG TU'!I285,""))</f>
      </c>
      <c r="G294" s="130">
        <f>IF($F$7='CHUNG TU'!I285,'CHUNG TU'!$L285,0)</f>
        <v>0</v>
      </c>
      <c r="H294" s="130">
        <f>IF($F$7='CHUNG TU'!J285,'CHUNG TU'!$L285,0)</f>
        <v>0</v>
      </c>
      <c r="I294" s="130">
        <f>IF(G294+H294&lt;&gt;0,$I$10+SUM($G$14:G294)-SUM($H$14:H294),0)</f>
        <v>0</v>
      </c>
    </row>
    <row r="295" spans="2:9" ht="14.25">
      <c r="B295" s="129">
        <f>IF($F295&lt;&gt;"",'CHUNG TU'!A286,"")</f>
      </c>
      <c r="C295" s="129">
        <f>IF($F295&lt;&gt;"",'CHUNG TU'!B286,"")</f>
      </c>
      <c r="D295" s="129">
        <f>IF($F295&lt;&gt;"",'CHUNG TU'!F286,"")</f>
      </c>
      <c r="E295" s="129">
        <f>IF($F295&lt;&gt;"",'CHUNG TU'!H286,"")</f>
      </c>
      <c r="F295" s="130">
        <f>IF($F$7='CHUNG TU'!I286,'CHUNG TU'!J286,IF($F$7='CHUNG TU'!J286,'CHUNG TU'!I286,""))</f>
      </c>
      <c r="G295" s="130">
        <f>IF($F$7='CHUNG TU'!I286,'CHUNG TU'!$L286,0)</f>
        <v>0</v>
      </c>
      <c r="H295" s="130">
        <f>IF($F$7='CHUNG TU'!J286,'CHUNG TU'!$L286,0)</f>
        <v>0</v>
      </c>
      <c r="I295" s="130">
        <f>IF(G295+H295&lt;&gt;0,$I$10+SUM($G$14:G295)-SUM($H$14:H295),0)</f>
        <v>0</v>
      </c>
    </row>
    <row r="296" spans="2:9" ht="14.25">
      <c r="B296" s="129">
        <f>IF($F296&lt;&gt;"",'CHUNG TU'!A287,"")</f>
      </c>
      <c r="C296" s="129">
        <f>IF($F296&lt;&gt;"",'CHUNG TU'!B287,"")</f>
      </c>
      <c r="D296" s="129">
        <f>IF($F296&lt;&gt;"",'CHUNG TU'!F287,"")</f>
      </c>
      <c r="E296" s="129">
        <f>IF($F296&lt;&gt;"",'CHUNG TU'!H287,"")</f>
      </c>
      <c r="F296" s="130">
        <f>IF($F$7='CHUNG TU'!I287,'CHUNG TU'!J287,IF($F$7='CHUNG TU'!J287,'CHUNG TU'!I287,""))</f>
      </c>
      <c r="G296" s="130">
        <f>IF($F$7='CHUNG TU'!I287,'CHUNG TU'!$L287,0)</f>
        <v>0</v>
      </c>
      <c r="H296" s="130">
        <f>IF($F$7='CHUNG TU'!J287,'CHUNG TU'!$L287,0)</f>
        <v>0</v>
      </c>
      <c r="I296" s="130">
        <f>IF(G296+H296&lt;&gt;0,$I$10+SUM($G$14:G296)-SUM($H$14:H296),0)</f>
        <v>0</v>
      </c>
    </row>
    <row r="297" spans="2:9" ht="14.25">
      <c r="B297" s="129">
        <f>IF($F297&lt;&gt;"",'CHUNG TU'!A288,"")</f>
      </c>
      <c r="C297" s="129">
        <f>IF($F297&lt;&gt;"",'CHUNG TU'!B288,"")</f>
      </c>
      <c r="D297" s="129">
        <f>IF($F297&lt;&gt;"",'CHUNG TU'!F288,"")</f>
      </c>
      <c r="E297" s="129">
        <f>IF($F297&lt;&gt;"",'CHUNG TU'!H288,"")</f>
      </c>
      <c r="F297" s="130">
        <f>IF($F$7='CHUNG TU'!I288,'CHUNG TU'!J288,IF($F$7='CHUNG TU'!J288,'CHUNG TU'!I288,""))</f>
      </c>
      <c r="G297" s="130">
        <f>IF($F$7='CHUNG TU'!I288,'CHUNG TU'!$L288,0)</f>
        <v>0</v>
      </c>
      <c r="H297" s="130">
        <f>IF($F$7='CHUNG TU'!J288,'CHUNG TU'!$L288,0)</f>
        <v>0</v>
      </c>
      <c r="I297" s="130">
        <f>IF(G297+H297&lt;&gt;0,$I$10+SUM($G$14:G297)-SUM($H$14:H297),0)</f>
        <v>0</v>
      </c>
    </row>
    <row r="298" spans="2:9" ht="14.25">
      <c r="B298" s="129">
        <f>IF($F298&lt;&gt;"",'CHUNG TU'!A289,"")</f>
      </c>
      <c r="C298" s="129">
        <f>IF($F298&lt;&gt;"",'CHUNG TU'!B289,"")</f>
      </c>
      <c r="D298" s="129">
        <f>IF($F298&lt;&gt;"",'CHUNG TU'!F289,"")</f>
      </c>
      <c r="E298" s="129">
        <f>IF($F298&lt;&gt;"",'CHUNG TU'!H289,"")</f>
      </c>
      <c r="F298" s="130">
        <f>IF($F$7='CHUNG TU'!I289,'CHUNG TU'!J289,IF($F$7='CHUNG TU'!J289,'CHUNG TU'!I289,""))</f>
      </c>
      <c r="G298" s="130">
        <f>IF($F$7='CHUNG TU'!I289,'CHUNG TU'!$L289,0)</f>
        <v>0</v>
      </c>
      <c r="H298" s="130">
        <f>IF($F$7='CHUNG TU'!J289,'CHUNG TU'!$L289,0)</f>
        <v>0</v>
      </c>
      <c r="I298" s="130">
        <f>IF(G298+H298&lt;&gt;0,$I$10+SUM($G$14:G298)-SUM($H$14:H298),0)</f>
        <v>0</v>
      </c>
    </row>
    <row r="299" spans="2:9" ht="14.25">
      <c r="B299" s="129">
        <f>IF($F299&lt;&gt;"",'CHUNG TU'!A290,"")</f>
      </c>
      <c r="C299" s="129">
        <f>IF($F299&lt;&gt;"",'CHUNG TU'!B290,"")</f>
      </c>
      <c r="D299" s="129">
        <f>IF($F299&lt;&gt;"",'CHUNG TU'!F290,"")</f>
      </c>
      <c r="E299" s="129">
        <f>IF($F299&lt;&gt;"",'CHUNG TU'!H290,"")</f>
      </c>
      <c r="F299" s="130">
        <f>IF($F$7='CHUNG TU'!I290,'CHUNG TU'!J290,IF($F$7='CHUNG TU'!J290,'CHUNG TU'!I290,""))</f>
      </c>
      <c r="G299" s="130">
        <f>IF($F$7='CHUNG TU'!I290,'CHUNG TU'!$L290,0)</f>
        <v>0</v>
      </c>
      <c r="H299" s="130">
        <f>IF($F$7='CHUNG TU'!J290,'CHUNG TU'!$L290,0)</f>
        <v>0</v>
      </c>
      <c r="I299" s="130">
        <f>IF(G299+H299&lt;&gt;0,$I$10+SUM($G$14:G299)-SUM($H$14:H299),0)</f>
        <v>0</v>
      </c>
    </row>
    <row r="300" spans="2:9" ht="14.25">
      <c r="B300" s="129">
        <f>IF($F300&lt;&gt;"",'CHUNG TU'!A291,"")</f>
      </c>
      <c r="C300" s="129">
        <f>IF($F300&lt;&gt;"",'CHUNG TU'!B291,"")</f>
      </c>
      <c r="D300" s="129">
        <f>IF($F300&lt;&gt;"",'CHUNG TU'!F291,"")</f>
      </c>
      <c r="E300" s="129">
        <f>IF($F300&lt;&gt;"",'CHUNG TU'!H291,"")</f>
      </c>
      <c r="F300" s="130">
        <f>IF($F$7='CHUNG TU'!I291,'CHUNG TU'!J291,IF($F$7='CHUNG TU'!J291,'CHUNG TU'!I291,""))</f>
      </c>
      <c r="G300" s="130">
        <f>IF($F$7='CHUNG TU'!I291,'CHUNG TU'!$L291,0)</f>
        <v>0</v>
      </c>
      <c r="H300" s="130">
        <f>IF($F$7='CHUNG TU'!J291,'CHUNG TU'!$L291,0)</f>
        <v>0</v>
      </c>
      <c r="I300" s="130">
        <f>IF(G300+H300&lt;&gt;0,$I$10+SUM($G$14:G300)-SUM($H$14:H300),0)</f>
        <v>0</v>
      </c>
    </row>
    <row r="301" spans="2:9" ht="14.25">
      <c r="B301" s="129">
        <f>IF($F301&lt;&gt;"",'CHUNG TU'!A292,"")</f>
      </c>
      <c r="C301" s="129">
        <f>IF($F301&lt;&gt;"",'CHUNG TU'!B292,"")</f>
      </c>
      <c r="D301" s="129">
        <f>IF($F301&lt;&gt;"",'CHUNG TU'!F292,"")</f>
      </c>
      <c r="E301" s="129">
        <f>IF($F301&lt;&gt;"",'CHUNG TU'!H292,"")</f>
      </c>
      <c r="F301" s="130">
        <f>IF($F$7='CHUNG TU'!I292,'CHUNG TU'!J292,IF($F$7='CHUNG TU'!J292,'CHUNG TU'!I292,""))</f>
      </c>
      <c r="G301" s="130">
        <f>IF($F$7='CHUNG TU'!I292,'CHUNG TU'!$L292,0)</f>
        <v>0</v>
      </c>
      <c r="H301" s="130">
        <f>IF($F$7='CHUNG TU'!J292,'CHUNG TU'!$L292,0)</f>
        <v>0</v>
      </c>
      <c r="I301" s="130">
        <f>IF(G301+H301&lt;&gt;0,$I$10+SUM($G$14:G301)-SUM($H$14:H301),0)</f>
        <v>0</v>
      </c>
    </row>
    <row r="302" spans="2:9" ht="14.25">
      <c r="B302" s="129">
        <f>IF($F302&lt;&gt;"",'CHUNG TU'!A293,"")</f>
      </c>
      <c r="C302" s="129">
        <f>IF($F302&lt;&gt;"",'CHUNG TU'!B293,"")</f>
      </c>
      <c r="D302" s="129">
        <f>IF($F302&lt;&gt;"",'CHUNG TU'!F293,"")</f>
      </c>
      <c r="E302" s="129">
        <f>IF($F302&lt;&gt;"",'CHUNG TU'!H293,"")</f>
      </c>
      <c r="F302" s="130">
        <f>IF($F$7='CHUNG TU'!I293,'CHUNG TU'!J293,IF($F$7='CHUNG TU'!J293,'CHUNG TU'!I293,""))</f>
      </c>
      <c r="G302" s="130">
        <f>IF($F$7='CHUNG TU'!I293,'CHUNG TU'!$L293,0)</f>
        <v>0</v>
      </c>
      <c r="H302" s="130">
        <f>IF($F$7='CHUNG TU'!J293,'CHUNG TU'!$L293,0)</f>
        <v>0</v>
      </c>
      <c r="I302" s="130">
        <f>IF(G302+H302&lt;&gt;0,$I$10+SUM($G$14:G302)-SUM($H$14:H302),0)</f>
        <v>0</v>
      </c>
    </row>
    <row r="303" spans="2:9" ht="14.25">
      <c r="B303" s="129">
        <f>IF($F303&lt;&gt;"",'CHUNG TU'!A294,"")</f>
      </c>
      <c r="C303" s="129">
        <f>IF($F303&lt;&gt;"",'CHUNG TU'!B294,"")</f>
      </c>
      <c r="D303" s="129">
        <f>IF($F303&lt;&gt;"",'CHUNG TU'!F294,"")</f>
      </c>
      <c r="E303" s="129">
        <f>IF($F303&lt;&gt;"",'CHUNG TU'!H294,"")</f>
      </c>
      <c r="F303" s="130">
        <f>IF($F$7='CHUNG TU'!I294,'CHUNG TU'!J294,IF($F$7='CHUNG TU'!J294,'CHUNG TU'!I294,""))</f>
      </c>
      <c r="G303" s="130">
        <f>IF($F$7='CHUNG TU'!I294,'CHUNG TU'!$L294,0)</f>
        <v>0</v>
      </c>
      <c r="H303" s="130">
        <f>IF($F$7='CHUNG TU'!J294,'CHUNG TU'!$L294,0)</f>
        <v>0</v>
      </c>
      <c r="I303" s="130">
        <f>IF(G303+H303&lt;&gt;0,$I$10+SUM($G$14:G303)-SUM($H$14:H303),0)</f>
        <v>0</v>
      </c>
    </row>
    <row r="304" spans="2:9" ht="14.25">
      <c r="B304" s="129">
        <f>IF($F304&lt;&gt;"",'CHUNG TU'!A295,"")</f>
      </c>
      <c r="C304" s="129">
        <f>IF($F304&lt;&gt;"",'CHUNG TU'!B295,"")</f>
      </c>
      <c r="D304" s="129">
        <f>IF($F304&lt;&gt;"",'CHUNG TU'!F295,"")</f>
      </c>
      <c r="E304" s="129">
        <f>IF($F304&lt;&gt;"",'CHUNG TU'!H295,"")</f>
      </c>
      <c r="F304" s="130">
        <f>IF($F$7='CHUNG TU'!I295,'CHUNG TU'!J295,IF($F$7='CHUNG TU'!J295,'CHUNG TU'!I295,""))</f>
      </c>
      <c r="G304" s="130">
        <f>IF($F$7='CHUNG TU'!I295,'CHUNG TU'!$L295,0)</f>
        <v>0</v>
      </c>
      <c r="H304" s="130">
        <f>IF($F$7='CHUNG TU'!J295,'CHUNG TU'!$L295,0)</f>
        <v>0</v>
      </c>
      <c r="I304" s="130">
        <f>IF(G304+H304&lt;&gt;0,$I$10+SUM($G$14:G304)-SUM($H$14:H304),0)</f>
        <v>0</v>
      </c>
    </row>
    <row r="305" spans="2:9" ht="14.25">
      <c r="B305" s="129">
        <f>IF($F305&lt;&gt;"",'CHUNG TU'!A296,"")</f>
      </c>
      <c r="C305" s="129">
        <f>IF($F305&lt;&gt;"",'CHUNG TU'!B296,"")</f>
      </c>
      <c r="D305" s="129">
        <f>IF($F305&lt;&gt;"",'CHUNG TU'!F296,"")</f>
      </c>
      <c r="E305" s="129">
        <f>IF($F305&lt;&gt;"",'CHUNG TU'!H296,"")</f>
      </c>
      <c r="F305" s="130">
        <f>IF($F$7='CHUNG TU'!I296,'CHUNG TU'!J296,IF($F$7='CHUNG TU'!J296,'CHUNG TU'!I296,""))</f>
      </c>
      <c r="G305" s="130">
        <f>IF($F$7='CHUNG TU'!I296,'CHUNG TU'!$L296,0)</f>
        <v>0</v>
      </c>
      <c r="H305" s="130">
        <f>IF($F$7='CHUNG TU'!J296,'CHUNG TU'!$L296,0)</f>
        <v>0</v>
      </c>
      <c r="I305" s="130">
        <f>IF(G305+H305&lt;&gt;0,$I$10+SUM($G$14:G305)-SUM($H$14:H305),0)</f>
        <v>0</v>
      </c>
    </row>
    <row r="306" spans="2:9" ht="14.25">
      <c r="B306" s="129">
        <f>IF($F306&lt;&gt;"",'CHUNG TU'!A297,"")</f>
      </c>
      <c r="C306" s="129">
        <f>IF($F306&lt;&gt;"",'CHUNG TU'!B297,"")</f>
      </c>
      <c r="D306" s="129">
        <f>IF($F306&lt;&gt;"",'CHUNG TU'!F297,"")</f>
      </c>
      <c r="E306" s="129">
        <f>IF($F306&lt;&gt;"",'CHUNG TU'!H297,"")</f>
      </c>
      <c r="F306" s="130">
        <f>IF($F$7='CHUNG TU'!I297,'CHUNG TU'!J297,IF($F$7='CHUNG TU'!J297,'CHUNG TU'!I297,""))</f>
      </c>
      <c r="G306" s="130">
        <f>IF($F$7='CHUNG TU'!I297,'CHUNG TU'!$L297,0)</f>
        <v>0</v>
      </c>
      <c r="H306" s="130">
        <f>IF($F$7='CHUNG TU'!J297,'CHUNG TU'!$L297,0)</f>
        <v>0</v>
      </c>
      <c r="I306" s="130">
        <f>IF(G306+H306&lt;&gt;0,$I$10+SUM($G$14:G306)-SUM($H$14:H306),0)</f>
        <v>0</v>
      </c>
    </row>
    <row r="307" spans="2:9" ht="14.25">
      <c r="B307" s="129">
        <f>IF($F307&lt;&gt;"",'CHUNG TU'!A298,"")</f>
      </c>
      <c r="C307" s="129">
        <f>IF($F307&lt;&gt;"",'CHUNG TU'!B298,"")</f>
      </c>
      <c r="D307" s="129">
        <f>IF($F307&lt;&gt;"",'CHUNG TU'!F298,"")</f>
      </c>
      <c r="E307" s="129">
        <f>IF($F307&lt;&gt;"",'CHUNG TU'!H298,"")</f>
      </c>
      <c r="F307" s="130">
        <f>IF($F$7='CHUNG TU'!I298,'CHUNG TU'!J298,IF($F$7='CHUNG TU'!J298,'CHUNG TU'!I298,""))</f>
      </c>
      <c r="G307" s="130">
        <f>IF($F$7='CHUNG TU'!I298,'CHUNG TU'!$L298,0)</f>
        <v>0</v>
      </c>
      <c r="H307" s="130">
        <f>IF($F$7='CHUNG TU'!J298,'CHUNG TU'!$L298,0)</f>
        <v>0</v>
      </c>
      <c r="I307" s="130">
        <f>IF(G307+H307&lt;&gt;0,$I$10+SUM($G$14:G307)-SUM($H$14:H307),0)</f>
        <v>0</v>
      </c>
    </row>
    <row r="308" spans="2:9" ht="14.25">
      <c r="B308" s="129">
        <f>IF($F308&lt;&gt;"",'CHUNG TU'!A299,"")</f>
      </c>
      <c r="C308" s="129">
        <f>IF($F308&lt;&gt;"",'CHUNG TU'!B299,"")</f>
      </c>
      <c r="D308" s="129">
        <f>IF($F308&lt;&gt;"",'CHUNG TU'!F299,"")</f>
      </c>
      <c r="E308" s="129">
        <f>IF($F308&lt;&gt;"",'CHUNG TU'!H299,"")</f>
      </c>
      <c r="F308" s="130">
        <f>IF($F$7='CHUNG TU'!I299,'CHUNG TU'!J299,IF($F$7='CHUNG TU'!J299,'CHUNG TU'!I299,""))</f>
      </c>
      <c r="G308" s="130">
        <f>IF($F$7='CHUNG TU'!I299,'CHUNG TU'!$L299,0)</f>
        <v>0</v>
      </c>
      <c r="H308" s="130">
        <f>IF($F$7='CHUNG TU'!J299,'CHUNG TU'!$L299,0)</f>
        <v>0</v>
      </c>
      <c r="I308" s="130">
        <f>IF(G308+H308&lt;&gt;0,$I$10+SUM($G$14:G308)-SUM($H$14:H308),0)</f>
        <v>0</v>
      </c>
    </row>
    <row r="309" spans="2:9" ht="14.25">
      <c r="B309" s="129">
        <f>IF($F309&lt;&gt;"",'CHUNG TU'!A300,"")</f>
      </c>
      <c r="C309" s="129">
        <f>IF($F309&lt;&gt;"",'CHUNG TU'!B300,"")</f>
      </c>
      <c r="D309" s="129">
        <f>IF($F309&lt;&gt;"",'CHUNG TU'!F300,"")</f>
      </c>
      <c r="E309" s="129">
        <f>IF($F309&lt;&gt;"",'CHUNG TU'!H300,"")</f>
      </c>
      <c r="F309" s="130">
        <f>IF($F$7='CHUNG TU'!I300,'CHUNG TU'!J300,IF($F$7='CHUNG TU'!J300,'CHUNG TU'!I300,""))</f>
      </c>
      <c r="G309" s="130">
        <f>IF($F$7='CHUNG TU'!I300,'CHUNG TU'!$L300,0)</f>
        <v>0</v>
      </c>
      <c r="H309" s="130">
        <f>IF($F$7='CHUNG TU'!J300,'CHUNG TU'!$L300,0)</f>
        <v>0</v>
      </c>
      <c r="I309" s="130">
        <f>IF(G309+H309&lt;&gt;0,$I$10+SUM($G$14:G309)-SUM($H$14:H309),0)</f>
        <v>0</v>
      </c>
    </row>
    <row r="310" spans="2:9" ht="14.25">
      <c r="B310" s="129">
        <f>IF($F310&lt;&gt;"",'CHUNG TU'!A301,"")</f>
      </c>
      <c r="C310" s="129">
        <f>IF($F310&lt;&gt;"",'CHUNG TU'!B301,"")</f>
      </c>
      <c r="D310" s="129">
        <f>IF($F310&lt;&gt;"",'CHUNG TU'!F301,"")</f>
      </c>
      <c r="E310" s="129">
        <f>IF($F310&lt;&gt;"",'CHUNG TU'!H301,"")</f>
      </c>
      <c r="F310" s="130">
        <f>IF($F$7='CHUNG TU'!I301,'CHUNG TU'!J301,IF($F$7='CHUNG TU'!J301,'CHUNG TU'!I301,""))</f>
      </c>
      <c r="G310" s="130">
        <f>IF($F$7='CHUNG TU'!I301,'CHUNG TU'!$L301,0)</f>
        <v>0</v>
      </c>
      <c r="H310" s="130">
        <f>IF($F$7='CHUNG TU'!J301,'CHUNG TU'!$L301,0)</f>
        <v>0</v>
      </c>
      <c r="I310" s="130">
        <f>IF(G310+H310&lt;&gt;0,$I$10+SUM($G$14:G310)-SUM($H$14:H310),0)</f>
        <v>0</v>
      </c>
    </row>
    <row r="311" spans="2:9" ht="14.25">
      <c r="B311" s="129">
        <f>IF($F311&lt;&gt;"",'CHUNG TU'!A302,"")</f>
      </c>
      <c r="C311" s="129">
        <f>IF($F311&lt;&gt;"",'CHUNG TU'!B302,"")</f>
      </c>
      <c r="D311" s="129">
        <f>IF($F311&lt;&gt;"",'CHUNG TU'!F302,"")</f>
      </c>
      <c r="E311" s="129">
        <f>IF($F311&lt;&gt;"",'CHUNG TU'!H302,"")</f>
      </c>
      <c r="F311" s="130">
        <f>IF($F$7='CHUNG TU'!I302,'CHUNG TU'!J302,IF($F$7='CHUNG TU'!J302,'CHUNG TU'!I302,""))</f>
      </c>
      <c r="G311" s="130">
        <f>IF($F$7='CHUNG TU'!I302,'CHUNG TU'!$L302,0)</f>
        <v>0</v>
      </c>
      <c r="H311" s="130">
        <f>IF($F$7='CHUNG TU'!J302,'CHUNG TU'!$L302,0)</f>
        <v>0</v>
      </c>
      <c r="I311" s="130">
        <f>IF(G311+H311&lt;&gt;0,$I$10+SUM($G$14:G311)-SUM($H$14:H311),0)</f>
        <v>0</v>
      </c>
    </row>
    <row r="312" spans="2:9" ht="14.25">
      <c r="B312" s="129">
        <f>IF($F312&lt;&gt;"",'CHUNG TU'!A303,"")</f>
      </c>
      <c r="C312" s="129">
        <f>IF($F312&lt;&gt;"",'CHUNG TU'!B303,"")</f>
      </c>
      <c r="D312" s="129">
        <f>IF($F312&lt;&gt;"",'CHUNG TU'!F303,"")</f>
      </c>
      <c r="E312" s="129">
        <f>IF($F312&lt;&gt;"",'CHUNG TU'!H303,"")</f>
      </c>
      <c r="F312" s="130">
        <f>IF($F$7='CHUNG TU'!I303,'CHUNG TU'!J303,IF($F$7='CHUNG TU'!J303,'CHUNG TU'!I303,""))</f>
      </c>
      <c r="G312" s="130">
        <f>IF($F$7='CHUNG TU'!I303,'CHUNG TU'!$L303,0)</f>
        <v>0</v>
      </c>
      <c r="H312" s="130">
        <f>IF($F$7='CHUNG TU'!J303,'CHUNG TU'!$L303,0)</f>
        <v>0</v>
      </c>
      <c r="I312" s="130">
        <f>IF(G312+H312&lt;&gt;0,$I$10+SUM($G$14:G312)-SUM($H$14:H312),0)</f>
        <v>0</v>
      </c>
    </row>
    <row r="313" spans="2:9" ht="14.25">
      <c r="B313" s="129">
        <f>IF($F313&lt;&gt;"",'CHUNG TU'!A304,"")</f>
      </c>
      <c r="C313" s="129">
        <f>IF($F313&lt;&gt;"",'CHUNG TU'!B304,"")</f>
      </c>
      <c r="D313" s="129">
        <f>IF($F313&lt;&gt;"",'CHUNG TU'!F304,"")</f>
      </c>
      <c r="E313" s="129">
        <f>IF($F313&lt;&gt;"",'CHUNG TU'!H304,"")</f>
      </c>
      <c r="F313" s="130">
        <f>IF($F$7='CHUNG TU'!I304,'CHUNG TU'!J304,IF($F$7='CHUNG TU'!J304,'CHUNG TU'!I304,""))</f>
      </c>
      <c r="G313" s="130">
        <f>IF($F$7='CHUNG TU'!I304,'CHUNG TU'!$L304,0)</f>
        <v>0</v>
      </c>
      <c r="H313" s="130">
        <f>IF($F$7='CHUNG TU'!J304,'CHUNG TU'!$L304,0)</f>
        <v>0</v>
      </c>
      <c r="I313" s="130">
        <f>IF(G313+H313&lt;&gt;0,$I$10+SUM($G$14:G313)-SUM($H$14:H313),0)</f>
        <v>0</v>
      </c>
    </row>
    <row r="314" spans="2:9" ht="14.25">
      <c r="B314" s="129">
        <f>IF($F314&lt;&gt;"",'CHUNG TU'!A305,"")</f>
      </c>
      <c r="C314" s="129">
        <f>IF($F314&lt;&gt;"",'CHUNG TU'!B305,"")</f>
      </c>
      <c r="D314" s="129">
        <f>IF($F314&lt;&gt;"",'CHUNG TU'!F305,"")</f>
      </c>
      <c r="E314" s="129">
        <f>IF($F314&lt;&gt;"",'CHUNG TU'!H305,"")</f>
      </c>
      <c r="F314" s="130">
        <f>IF($F$7='CHUNG TU'!I305,'CHUNG TU'!J305,IF($F$7='CHUNG TU'!J305,'CHUNG TU'!I305,""))</f>
      </c>
      <c r="G314" s="130">
        <f>IF($F$7='CHUNG TU'!I305,'CHUNG TU'!$L305,0)</f>
        <v>0</v>
      </c>
      <c r="H314" s="130">
        <f>IF($F$7='CHUNG TU'!J305,'CHUNG TU'!$L305,0)</f>
        <v>0</v>
      </c>
      <c r="I314" s="130">
        <f>IF(G314+H314&lt;&gt;0,$I$10+SUM($G$14:G314)-SUM($H$14:H314),0)</f>
        <v>0</v>
      </c>
    </row>
    <row r="315" spans="2:9" ht="14.25">
      <c r="B315" s="129">
        <f>IF($F315&lt;&gt;"",'CHUNG TU'!A306,"")</f>
      </c>
      <c r="C315" s="129">
        <f>IF($F315&lt;&gt;"",'CHUNG TU'!B306,"")</f>
      </c>
      <c r="D315" s="129">
        <f>IF($F315&lt;&gt;"",'CHUNG TU'!F306,"")</f>
      </c>
      <c r="E315" s="129">
        <f>IF($F315&lt;&gt;"",'CHUNG TU'!H306,"")</f>
      </c>
      <c r="F315" s="130">
        <f>IF($F$7='CHUNG TU'!I306,'CHUNG TU'!J306,IF($F$7='CHUNG TU'!J306,'CHUNG TU'!I306,""))</f>
      </c>
      <c r="G315" s="130">
        <f>IF($F$7='CHUNG TU'!I306,'CHUNG TU'!$L306,0)</f>
        <v>0</v>
      </c>
      <c r="H315" s="130">
        <f>IF($F$7='CHUNG TU'!J306,'CHUNG TU'!$L306,0)</f>
        <v>0</v>
      </c>
      <c r="I315" s="130">
        <f>IF(G315+H315&lt;&gt;0,$I$10+SUM($G$14:G315)-SUM($H$14:H315),0)</f>
        <v>0</v>
      </c>
    </row>
    <row r="316" spans="2:9" ht="14.25">
      <c r="B316" s="129">
        <f>IF($F316&lt;&gt;"",'CHUNG TU'!A307,"")</f>
      </c>
      <c r="C316" s="129">
        <f>IF($F316&lt;&gt;"",'CHUNG TU'!B307,"")</f>
      </c>
      <c r="D316" s="129">
        <f>IF($F316&lt;&gt;"",'CHUNG TU'!F307,"")</f>
      </c>
      <c r="E316" s="129">
        <f>IF($F316&lt;&gt;"",'CHUNG TU'!H307,"")</f>
      </c>
      <c r="F316" s="130">
        <f>IF($F$7='CHUNG TU'!I307,'CHUNG TU'!J307,IF($F$7='CHUNG TU'!J307,'CHUNG TU'!I307,""))</f>
      </c>
      <c r="G316" s="130">
        <f>IF($F$7='CHUNG TU'!I307,'CHUNG TU'!$L307,0)</f>
        <v>0</v>
      </c>
      <c r="H316" s="130">
        <f>IF($F$7='CHUNG TU'!J307,'CHUNG TU'!$L307,0)</f>
        <v>0</v>
      </c>
      <c r="I316" s="130">
        <f>IF(G316+H316&lt;&gt;0,$I$10+SUM($G$14:G316)-SUM($H$14:H316),0)</f>
        <v>0</v>
      </c>
    </row>
    <row r="317" spans="2:9" ht="14.25">
      <c r="B317" s="129">
        <f>IF($F317&lt;&gt;"",'CHUNG TU'!A308,"")</f>
      </c>
      <c r="C317" s="129">
        <f>IF($F317&lt;&gt;"",'CHUNG TU'!B308,"")</f>
      </c>
      <c r="D317" s="129">
        <f>IF($F317&lt;&gt;"",'CHUNG TU'!F308,"")</f>
      </c>
      <c r="E317" s="129">
        <f>IF($F317&lt;&gt;"",'CHUNG TU'!H308,"")</f>
      </c>
      <c r="F317" s="130">
        <f>IF($F$7='CHUNG TU'!I308,'CHUNG TU'!J308,IF($F$7='CHUNG TU'!J308,'CHUNG TU'!I308,""))</f>
      </c>
      <c r="G317" s="130">
        <f>IF($F$7='CHUNG TU'!I308,'CHUNG TU'!$L308,0)</f>
        <v>0</v>
      </c>
      <c r="H317" s="130">
        <f>IF($F$7='CHUNG TU'!J308,'CHUNG TU'!$L308,0)</f>
        <v>0</v>
      </c>
      <c r="I317" s="130">
        <f>IF(G317+H317&lt;&gt;0,$I$10+SUM($G$14:G317)-SUM($H$14:H317),0)</f>
        <v>0</v>
      </c>
    </row>
    <row r="318" spans="2:9" ht="14.25">
      <c r="B318" s="129">
        <f>IF($F318&lt;&gt;"",'CHUNG TU'!A309,"")</f>
      </c>
      <c r="C318" s="129">
        <f>IF($F318&lt;&gt;"",'CHUNG TU'!B309,"")</f>
      </c>
      <c r="D318" s="129">
        <f>IF($F318&lt;&gt;"",'CHUNG TU'!F309,"")</f>
      </c>
      <c r="E318" s="129">
        <f>IF($F318&lt;&gt;"",'CHUNG TU'!H309,"")</f>
      </c>
      <c r="F318" s="130">
        <f>IF($F$7='CHUNG TU'!I309,'CHUNG TU'!J309,IF($F$7='CHUNG TU'!J309,'CHUNG TU'!I309,""))</f>
      </c>
      <c r="G318" s="130">
        <f>IF($F$7='CHUNG TU'!I309,'CHUNG TU'!$L309,0)</f>
        <v>0</v>
      </c>
      <c r="H318" s="130">
        <f>IF($F$7='CHUNG TU'!J309,'CHUNG TU'!$L309,0)</f>
        <v>0</v>
      </c>
      <c r="I318" s="130">
        <f>IF(G318+H318&lt;&gt;0,$I$10+SUM($G$14:G318)-SUM($H$14:H318),0)</f>
        <v>0</v>
      </c>
    </row>
    <row r="319" spans="2:9" ht="14.25">
      <c r="B319" s="129">
        <f>IF($F319&lt;&gt;"",'CHUNG TU'!A310,"")</f>
      </c>
      <c r="C319" s="129">
        <f>IF($F319&lt;&gt;"",'CHUNG TU'!B310,"")</f>
      </c>
      <c r="D319" s="129">
        <f>IF($F319&lt;&gt;"",'CHUNG TU'!F310,"")</f>
      </c>
      <c r="E319" s="129">
        <f>IF($F319&lt;&gt;"",'CHUNG TU'!H310,"")</f>
      </c>
      <c r="F319" s="130">
        <f>IF($F$7='CHUNG TU'!I310,'CHUNG TU'!J310,IF($F$7='CHUNG TU'!J310,'CHUNG TU'!I310,""))</f>
      </c>
      <c r="G319" s="130">
        <f>IF($F$7='CHUNG TU'!I310,'CHUNG TU'!$L310,0)</f>
        <v>0</v>
      </c>
      <c r="H319" s="130">
        <f>IF($F$7='CHUNG TU'!J310,'CHUNG TU'!$L310,0)</f>
        <v>0</v>
      </c>
      <c r="I319" s="130">
        <f>IF(G319+H319&lt;&gt;0,$I$10+SUM($G$14:G319)-SUM($H$14:H319),0)</f>
        <v>0</v>
      </c>
    </row>
    <row r="320" spans="2:9" ht="14.25">
      <c r="B320" s="129">
        <f>IF($F320&lt;&gt;"",'CHUNG TU'!A311,"")</f>
      </c>
      <c r="C320" s="129">
        <f>IF($F320&lt;&gt;"",'CHUNG TU'!B311,"")</f>
      </c>
      <c r="D320" s="129">
        <f>IF($F320&lt;&gt;"",'CHUNG TU'!F311,"")</f>
      </c>
      <c r="E320" s="129">
        <f>IF($F320&lt;&gt;"",'CHUNG TU'!H311,"")</f>
      </c>
      <c r="F320" s="130">
        <f>IF($F$7='CHUNG TU'!I311,'CHUNG TU'!J311,IF($F$7='CHUNG TU'!J311,'CHUNG TU'!I311,""))</f>
      </c>
      <c r="G320" s="130">
        <f>IF($F$7='CHUNG TU'!I311,'CHUNG TU'!$L311,0)</f>
        <v>0</v>
      </c>
      <c r="H320" s="130">
        <f>IF($F$7='CHUNG TU'!J311,'CHUNG TU'!$L311,0)</f>
        <v>0</v>
      </c>
      <c r="I320" s="130">
        <f>IF(G320+H320&lt;&gt;0,$I$10+SUM($G$14:G320)-SUM($H$14:H320),0)</f>
        <v>0</v>
      </c>
    </row>
    <row r="321" spans="2:9" ht="14.25">
      <c r="B321" s="129">
        <f>IF($F321&lt;&gt;"",'CHUNG TU'!A312,"")</f>
      </c>
      <c r="C321" s="129">
        <f>IF($F321&lt;&gt;"",'CHUNG TU'!B312,"")</f>
      </c>
      <c r="D321" s="129">
        <f>IF($F321&lt;&gt;"",'CHUNG TU'!F312,"")</f>
      </c>
      <c r="E321" s="129">
        <f>IF($F321&lt;&gt;"",'CHUNG TU'!H312,"")</f>
      </c>
      <c r="F321" s="130">
        <f>IF($F$7='CHUNG TU'!I312,'CHUNG TU'!J312,IF($F$7='CHUNG TU'!J312,'CHUNG TU'!I312,""))</f>
      </c>
      <c r="G321" s="130">
        <f>IF($F$7='CHUNG TU'!I312,'CHUNG TU'!$L312,0)</f>
        <v>0</v>
      </c>
      <c r="H321" s="130">
        <f>IF($F$7='CHUNG TU'!J312,'CHUNG TU'!$L312,0)</f>
        <v>0</v>
      </c>
      <c r="I321" s="130">
        <f>IF(G321+H321&lt;&gt;0,$I$10+SUM($G$14:G321)-SUM($H$14:H321),0)</f>
        <v>0</v>
      </c>
    </row>
    <row r="322" spans="2:9" ht="14.25">
      <c r="B322" s="129">
        <f>IF($F322&lt;&gt;"",'CHUNG TU'!A313,"")</f>
      </c>
      <c r="C322" s="129">
        <f>IF($F322&lt;&gt;"",'CHUNG TU'!B313,"")</f>
      </c>
      <c r="D322" s="129">
        <f>IF($F322&lt;&gt;"",'CHUNG TU'!F313,"")</f>
      </c>
      <c r="E322" s="129">
        <f>IF($F322&lt;&gt;"",'CHUNG TU'!H313,"")</f>
      </c>
      <c r="F322" s="130">
        <f>IF($F$7='CHUNG TU'!I313,'CHUNG TU'!J313,IF($F$7='CHUNG TU'!J313,'CHUNG TU'!I313,""))</f>
      </c>
      <c r="G322" s="130">
        <f>IF($F$7='CHUNG TU'!I313,'CHUNG TU'!$L313,0)</f>
        <v>0</v>
      </c>
      <c r="H322" s="130">
        <f>IF($F$7='CHUNG TU'!J313,'CHUNG TU'!$L313,0)</f>
        <v>0</v>
      </c>
      <c r="I322" s="130">
        <f>IF(G322+H322&lt;&gt;0,$I$10+SUM($G$14:G322)-SUM($H$14:H322),0)</f>
        <v>0</v>
      </c>
    </row>
    <row r="323" spans="2:9" ht="14.25">
      <c r="B323" s="129">
        <f>IF($F323&lt;&gt;"",'CHUNG TU'!A314,"")</f>
      </c>
      <c r="C323" s="129">
        <f>IF($F323&lt;&gt;"",'CHUNG TU'!B314,"")</f>
      </c>
      <c r="D323" s="129">
        <f>IF($F323&lt;&gt;"",'CHUNG TU'!F314,"")</f>
      </c>
      <c r="E323" s="129">
        <f>IF($F323&lt;&gt;"",'CHUNG TU'!H314,"")</f>
      </c>
      <c r="F323" s="130">
        <f>IF($F$7='CHUNG TU'!I314,'CHUNG TU'!J314,IF($F$7='CHUNG TU'!J314,'CHUNG TU'!I314,""))</f>
      </c>
      <c r="G323" s="130">
        <f>IF($F$7='CHUNG TU'!I314,'CHUNG TU'!$L314,0)</f>
        <v>0</v>
      </c>
      <c r="H323" s="130">
        <f>IF($F$7='CHUNG TU'!J314,'CHUNG TU'!$L314,0)</f>
        <v>0</v>
      </c>
      <c r="I323" s="130">
        <f>IF(G323+H323&lt;&gt;0,$I$10+SUM($G$14:G323)-SUM($H$14:H323),0)</f>
        <v>0</v>
      </c>
    </row>
    <row r="324" spans="2:9" ht="14.25">
      <c r="B324" s="129">
        <f>IF($F324&lt;&gt;"",'CHUNG TU'!A315,"")</f>
      </c>
      <c r="C324" s="129">
        <f>IF($F324&lt;&gt;"",'CHUNG TU'!B315,"")</f>
      </c>
      <c r="D324" s="129">
        <f>IF($F324&lt;&gt;"",'CHUNG TU'!F315,"")</f>
      </c>
      <c r="E324" s="129">
        <f>IF($F324&lt;&gt;"",'CHUNG TU'!H315,"")</f>
      </c>
      <c r="F324" s="130">
        <f>IF($F$7='CHUNG TU'!I315,'CHUNG TU'!J315,IF($F$7='CHUNG TU'!J315,'CHUNG TU'!I315,""))</f>
      </c>
      <c r="G324" s="130">
        <f>IF($F$7='CHUNG TU'!I315,'CHUNG TU'!$L315,0)</f>
        <v>0</v>
      </c>
      <c r="H324" s="130">
        <f>IF($F$7='CHUNG TU'!J315,'CHUNG TU'!$L315,0)</f>
        <v>0</v>
      </c>
      <c r="I324" s="130">
        <f>IF(G324+H324&lt;&gt;0,$I$10+SUM($G$14:G324)-SUM($H$14:H324),0)</f>
        <v>0</v>
      </c>
    </row>
    <row r="325" spans="2:9" ht="14.25">
      <c r="B325" s="129">
        <f>IF($F325&lt;&gt;"",'CHUNG TU'!A316,"")</f>
      </c>
      <c r="C325" s="129">
        <f>IF($F325&lt;&gt;"",'CHUNG TU'!B316,"")</f>
      </c>
      <c r="D325" s="129">
        <f>IF($F325&lt;&gt;"",'CHUNG TU'!F316,"")</f>
      </c>
      <c r="E325" s="129">
        <f>IF($F325&lt;&gt;"",'CHUNG TU'!H316,"")</f>
      </c>
      <c r="F325" s="130">
        <f>IF($F$7='CHUNG TU'!I316,'CHUNG TU'!J316,IF($F$7='CHUNG TU'!J316,'CHUNG TU'!I316,""))</f>
      </c>
      <c r="G325" s="130">
        <f>IF($F$7='CHUNG TU'!I316,'CHUNG TU'!$L316,0)</f>
        <v>0</v>
      </c>
      <c r="H325" s="130">
        <f>IF($F$7='CHUNG TU'!J316,'CHUNG TU'!$L316,0)</f>
        <v>0</v>
      </c>
      <c r="I325" s="130">
        <f>IF(G325+H325&lt;&gt;0,$I$10+SUM($G$14:G325)-SUM($H$14:H325),0)</f>
        <v>0</v>
      </c>
    </row>
    <row r="326" spans="2:9" ht="14.25">
      <c r="B326" s="129">
        <f>IF($F326&lt;&gt;"",'CHUNG TU'!A317,"")</f>
      </c>
      <c r="C326" s="129">
        <f>IF($F326&lt;&gt;"",'CHUNG TU'!B317,"")</f>
      </c>
      <c r="D326" s="129">
        <f>IF($F326&lt;&gt;"",'CHUNG TU'!F317,"")</f>
      </c>
      <c r="E326" s="129">
        <f>IF($F326&lt;&gt;"",'CHUNG TU'!H317,"")</f>
      </c>
      <c r="F326" s="130">
        <f>IF($F$7='CHUNG TU'!I317,'CHUNG TU'!J317,IF($F$7='CHUNG TU'!J317,'CHUNG TU'!I317,""))</f>
      </c>
      <c r="G326" s="130">
        <f>IF($F$7='CHUNG TU'!I317,'CHUNG TU'!$L317,0)</f>
        <v>0</v>
      </c>
      <c r="H326" s="130">
        <f>IF($F$7='CHUNG TU'!J317,'CHUNG TU'!$L317,0)</f>
        <v>0</v>
      </c>
      <c r="I326" s="130">
        <f>IF(G326+H326&lt;&gt;0,$I$10+SUM($G$14:G326)-SUM($H$14:H326),0)</f>
        <v>0</v>
      </c>
    </row>
    <row r="327" spans="2:9" ht="14.25">
      <c r="B327" s="129">
        <f>IF($F327&lt;&gt;"",'CHUNG TU'!A318,"")</f>
      </c>
      <c r="C327" s="129">
        <f>IF($F327&lt;&gt;"",'CHUNG TU'!B318,"")</f>
      </c>
      <c r="D327" s="129">
        <f>IF($F327&lt;&gt;"",'CHUNG TU'!F318,"")</f>
      </c>
      <c r="E327" s="129">
        <f>IF($F327&lt;&gt;"",'CHUNG TU'!H318,"")</f>
      </c>
      <c r="F327" s="130">
        <f>IF($F$7='CHUNG TU'!I318,'CHUNG TU'!J318,IF($F$7='CHUNG TU'!J318,'CHUNG TU'!I318,""))</f>
      </c>
      <c r="G327" s="130">
        <f>IF($F$7='CHUNG TU'!I318,'CHUNG TU'!$L318,0)</f>
        <v>0</v>
      </c>
      <c r="H327" s="130">
        <f>IF($F$7='CHUNG TU'!J318,'CHUNG TU'!$L318,0)</f>
        <v>0</v>
      </c>
      <c r="I327" s="130">
        <f>IF(G327+H327&lt;&gt;0,$I$10+SUM($G$14:G327)-SUM($H$14:H327),0)</f>
        <v>0</v>
      </c>
    </row>
    <row r="328" spans="2:9" ht="14.25">
      <c r="B328" s="129">
        <f>IF($F328&lt;&gt;"",'CHUNG TU'!A319,"")</f>
      </c>
      <c r="C328" s="129">
        <f>IF($F328&lt;&gt;"",'CHUNG TU'!B319,"")</f>
      </c>
      <c r="D328" s="129">
        <f>IF($F328&lt;&gt;"",'CHUNG TU'!F319,"")</f>
      </c>
      <c r="E328" s="129">
        <f>IF($F328&lt;&gt;"",'CHUNG TU'!H319,"")</f>
      </c>
      <c r="F328" s="130">
        <f>IF($F$7='CHUNG TU'!I319,'CHUNG TU'!J319,IF($F$7='CHUNG TU'!J319,'CHUNG TU'!I319,""))</f>
      </c>
      <c r="G328" s="130">
        <f>IF($F$7='CHUNG TU'!I319,'CHUNG TU'!$L319,0)</f>
        <v>0</v>
      </c>
      <c r="H328" s="130">
        <f>IF($F$7='CHUNG TU'!J319,'CHUNG TU'!$L319,0)</f>
        <v>0</v>
      </c>
      <c r="I328" s="130">
        <f>IF(G328+H328&lt;&gt;0,$I$10+SUM($G$14:G328)-SUM($H$14:H328),0)</f>
        <v>0</v>
      </c>
    </row>
    <row r="329" spans="2:9" ht="14.25">
      <c r="B329" s="129">
        <f>IF($F329&lt;&gt;"",'CHUNG TU'!A320,"")</f>
      </c>
      <c r="C329" s="129">
        <f>IF($F329&lt;&gt;"",'CHUNG TU'!B320,"")</f>
      </c>
      <c r="D329" s="129">
        <f>IF($F329&lt;&gt;"",'CHUNG TU'!F320,"")</f>
      </c>
      <c r="E329" s="129">
        <f>IF($F329&lt;&gt;"",'CHUNG TU'!H320,"")</f>
      </c>
      <c r="F329" s="130">
        <f>IF($F$7='CHUNG TU'!I320,'CHUNG TU'!J320,IF($F$7='CHUNG TU'!J320,'CHUNG TU'!I320,""))</f>
      </c>
      <c r="G329" s="130">
        <f>IF($F$7='CHUNG TU'!I320,'CHUNG TU'!$L320,0)</f>
        <v>0</v>
      </c>
      <c r="H329" s="130">
        <f>IF($F$7='CHUNG TU'!J320,'CHUNG TU'!$L320,0)</f>
        <v>0</v>
      </c>
      <c r="I329" s="130">
        <f>IF(G329+H329&lt;&gt;0,$I$10+SUM($G$14:G329)-SUM($H$14:H329),0)</f>
        <v>0</v>
      </c>
    </row>
    <row r="330" spans="2:9" ht="14.25">
      <c r="B330" s="129">
        <f>IF($F330&lt;&gt;"",'CHUNG TU'!A321,"")</f>
      </c>
      <c r="C330" s="129">
        <f>IF($F330&lt;&gt;"",'CHUNG TU'!B321,"")</f>
      </c>
      <c r="D330" s="129">
        <f>IF($F330&lt;&gt;"",'CHUNG TU'!F321,"")</f>
      </c>
      <c r="E330" s="129">
        <f>IF($F330&lt;&gt;"",'CHUNG TU'!H321,"")</f>
      </c>
      <c r="F330" s="130">
        <f>IF($F$7='CHUNG TU'!I321,'CHUNG TU'!J321,IF($F$7='CHUNG TU'!J321,'CHUNG TU'!I321,""))</f>
      </c>
      <c r="G330" s="130">
        <f>IF($F$7='CHUNG TU'!I321,'CHUNG TU'!$L321,0)</f>
        <v>0</v>
      </c>
      <c r="H330" s="130">
        <f>IF($F$7='CHUNG TU'!J321,'CHUNG TU'!$L321,0)</f>
        <v>0</v>
      </c>
      <c r="I330" s="130">
        <f>IF(G330+H330&lt;&gt;0,$I$10+SUM($G$14:G330)-SUM($H$14:H330),0)</f>
        <v>0</v>
      </c>
    </row>
    <row r="331" spans="2:9" ht="14.25">
      <c r="B331" s="129">
        <f>IF($F331&lt;&gt;"",'CHUNG TU'!A322,"")</f>
      </c>
      <c r="C331" s="129">
        <f>IF($F331&lt;&gt;"",'CHUNG TU'!B322,"")</f>
      </c>
      <c r="D331" s="129">
        <f>IF($F331&lt;&gt;"",'CHUNG TU'!F322,"")</f>
      </c>
      <c r="E331" s="129">
        <f>IF($F331&lt;&gt;"",'CHUNG TU'!H322,"")</f>
      </c>
      <c r="F331" s="130">
        <f>IF($F$7='CHUNG TU'!I322,'CHUNG TU'!J322,IF($F$7='CHUNG TU'!J322,'CHUNG TU'!I322,""))</f>
      </c>
      <c r="G331" s="130">
        <f>IF($F$7='CHUNG TU'!I322,'CHUNG TU'!$L322,0)</f>
        <v>0</v>
      </c>
      <c r="H331" s="130">
        <f>IF($F$7='CHUNG TU'!J322,'CHUNG TU'!$L322,0)</f>
        <v>0</v>
      </c>
      <c r="I331" s="130">
        <f>IF(G331+H331&lt;&gt;0,$I$10+SUM($G$14:G331)-SUM($H$14:H331),0)</f>
        <v>0</v>
      </c>
    </row>
    <row r="332" spans="2:9" ht="14.25">
      <c r="B332" s="129">
        <f>IF($F332&lt;&gt;"",'CHUNG TU'!A323,"")</f>
      </c>
      <c r="C332" s="129">
        <f>IF($F332&lt;&gt;"",'CHUNG TU'!B323,"")</f>
      </c>
      <c r="D332" s="129">
        <f>IF($F332&lt;&gt;"",'CHUNG TU'!F323,"")</f>
      </c>
      <c r="E332" s="129">
        <f>IF($F332&lt;&gt;"",'CHUNG TU'!H323,"")</f>
      </c>
      <c r="F332" s="130">
        <f>IF($F$7='CHUNG TU'!I323,'CHUNG TU'!J323,IF($F$7='CHUNG TU'!J323,'CHUNG TU'!I323,""))</f>
      </c>
      <c r="G332" s="130">
        <f>IF($F$7='CHUNG TU'!I323,'CHUNG TU'!$L323,0)</f>
        <v>0</v>
      </c>
      <c r="H332" s="130">
        <f>IF($F$7='CHUNG TU'!J323,'CHUNG TU'!$L323,0)</f>
        <v>0</v>
      </c>
      <c r="I332" s="130">
        <f>IF(G332+H332&lt;&gt;0,$I$10+SUM($G$14:G332)-SUM($H$14:H332),0)</f>
        <v>0</v>
      </c>
    </row>
    <row r="333" spans="2:9" ht="14.25">
      <c r="B333" s="129">
        <f>IF($F333&lt;&gt;"",'CHUNG TU'!A324,"")</f>
      </c>
      <c r="C333" s="129">
        <f>IF($F333&lt;&gt;"",'CHUNG TU'!B324,"")</f>
      </c>
      <c r="D333" s="129">
        <f>IF($F333&lt;&gt;"",'CHUNG TU'!F324,"")</f>
      </c>
      <c r="E333" s="129">
        <f>IF($F333&lt;&gt;"",'CHUNG TU'!H324,"")</f>
      </c>
      <c r="F333" s="130">
        <f>IF($F$7='CHUNG TU'!I324,'CHUNG TU'!J324,IF($F$7='CHUNG TU'!J324,'CHUNG TU'!I324,""))</f>
      </c>
      <c r="G333" s="130">
        <f>IF($F$7='CHUNG TU'!I324,'CHUNG TU'!$L324,0)</f>
        <v>0</v>
      </c>
      <c r="H333" s="130">
        <f>IF($F$7='CHUNG TU'!J324,'CHUNG TU'!$L324,0)</f>
        <v>0</v>
      </c>
      <c r="I333" s="130">
        <f>IF(G333+H333&lt;&gt;0,$I$10+SUM($G$14:G333)-SUM($H$14:H333),0)</f>
        <v>0</v>
      </c>
    </row>
    <row r="334" spans="2:9" ht="14.25">
      <c r="B334" s="129">
        <f>IF($F334&lt;&gt;"",'CHUNG TU'!A325,"")</f>
      </c>
      <c r="C334" s="129">
        <f>IF($F334&lt;&gt;"",'CHUNG TU'!B325,"")</f>
      </c>
      <c r="D334" s="129">
        <f>IF($F334&lt;&gt;"",'CHUNG TU'!F325,"")</f>
      </c>
      <c r="E334" s="129">
        <f>IF($F334&lt;&gt;"",'CHUNG TU'!H325,"")</f>
      </c>
      <c r="F334" s="130">
        <f>IF($F$7='CHUNG TU'!I325,'CHUNG TU'!J325,IF($F$7='CHUNG TU'!J325,'CHUNG TU'!I325,""))</f>
      </c>
      <c r="G334" s="130">
        <f>IF($F$7='CHUNG TU'!I325,'CHUNG TU'!$L325,0)</f>
        <v>0</v>
      </c>
      <c r="H334" s="130">
        <f>IF($F$7='CHUNG TU'!J325,'CHUNG TU'!$L325,0)</f>
        <v>0</v>
      </c>
      <c r="I334" s="130">
        <f>IF(G334+H334&lt;&gt;0,$I$10+SUM($G$14:G334)-SUM($H$14:H334),0)</f>
        <v>0</v>
      </c>
    </row>
    <row r="335" spans="2:9" ht="14.25">
      <c r="B335" s="129">
        <f>IF($F335&lt;&gt;"",'CHUNG TU'!A326,"")</f>
      </c>
      <c r="C335" s="129">
        <f>IF($F335&lt;&gt;"",'CHUNG TU'!B326,"")</f>
      </c>
      <c r="D335" s="129">
        <f>IF($F335&lt;&gt;"",'CHUNG TU'!F326,"")</f>
      </c>
      <c r="E335" s="129">
        <f>IF($F335&lt;&gt;"",'CHUNG TU'!H326,"")</f>
      </c>
      <c r="F335" s="130">
        <f>IF($F$7='CHUNG TU'!I326,'CHUNG TU'!J326,IF($F$7='CHUNG TU'!J326,'CHUNG TU'!I326,""))</f>
      </c>
      <c r="G335" s="130">
        <f>IF($F$7='CHUNG TU'!I326,'CHUNG TU'!$L326,0)</f>
        <v>0</v>
      </c>
      <c r="H335" s="130">
        <f>IF($F$7='CHUNG TU'!J326,'CHUNG TU'!$L326,0)</f>
        <v>0</v>
      </c>
      <c r="I335" s="130">
        <f>IF(G335+H335&lt;&gt;0,$I$10+SUM($G$14:G335)-SUM($H$14:H335),0)</f>
        <v>0</v>
      </c>
    </row>
    <row r="336" spans="2:9" ht="14.25">
      <c r="B336" s="129">
        <f>IF($F336&lt;&gt;"",'CHUNG TU'!A327,"")</f>
      </c>
      <c r="C336" s="129">
        <f>IF($F336&lt;&gt;"",'CHUNG TU'!B327,"")</f>
      </c>
      <c r="D336" s="129">
        <f>IF($F336&lt;&gt;"",'CHUNG TU'!F327,"")</f>
      </c>
      <c r="E336" s="129">
        <f>IF($F336&lt;&gt;"",'CHUNG TU'!H327,"")</f>
      </c>
      <c r="F336" s="130">
        <f>IF($F$7='CHUNG TU'!I327,'CHUNG TU'!J327,IF($F$7='CHUNG TU'!J327,'CHUNG TU'!I327,""))</f>
      </c>
      <c r="G336" s="130">
        <f>IF($F$7='CHUNG TU'!I327,'CHUNG TU'!$L327,0)</f>
        <v>0</v>
      </c>
      <c r="H336" s="130">
        <f>IF($F$7='CHUNG TU'!J327,'CHUNG TU'!$L327,0)</f>
        <v>0</v>
      </c>
      <c r="I336" s="130">
        <f>IF(G336+H336&lt;&gt;0,$I$10+SUM($G$14:G336)-SUM($H$14:H336),0)</f>
        <v>0</v>
      </c>
    </row>
    <row r="337" spans="2:9" ht="14.25">
      <c r="B337" s="129">
        <f>IF($F337&lt;&gt;"",'CHUNG TU'!A328,"")</f>
      </c>
      <c r="C337" s="129">
        <f>IF($F337&lt;&gt;"",'CHUNG TU'!B328,"")</f>
      </c>
      <c r="D337" s="129">
        <f>IF($F337&lt;&gt;"",'CHUNG TU'!F328,"")</f>
      </c>
      <c r="E337" s="129">
        <f>IF($F337&lt;&gt;"",'CHUNG TU'!H328,"")</f>
      </c>
      <c r="F337" s="130">
        <f>IF($F$7='CHUNG TU'!I328,'CHUNG TU'!J328,IF($F$7='CHUNG TU'!J328,'CHUNG TU'!I328,""))</f>
      </c>
      <c r="G337" s="130">
        <f>IF($F$7='CHUNG TU'!I328,'CHUNG TU'!$L328,0)</f>
        <v>0</v>
      </c>
      <c r="H337" s="130">
        <f>IF($F$7='CHUNG TU'!J328,'CHUNG TU'!$L328,0)</f>
        <v>0</v>
      </c>
      <c r="I337" s="130">
        <f>IF(G337+H337&lt;&gt;0,$I$10+SUM($G$14:G337)-SUM($H$14:H337),0)</f>
        <v>0</v>
      </c>
    </row>
    <row r="338" spans="2:9" ht="14.25">
      <c r="B338" s="129">
        <f>IF($F338&lt;&gt;"",'CHUNG TU'!A329,"")</f>
      </c>
      <c r="C338" s="129">
        <f>IF($F338&lt;&gt;"",'CHUNG TU'!B329,"")</f>
      </c>
      <c r="D338" s="129">
        <f>IF($F338&lt;&gt;"",'CHUNG TU'!F329,"")</f>
      </c>
      <c r="E338" s="129">
        <f>IF($F338&lt;&gt;"",'CHUNG TU'!H329,"")</f>
      </c>
      <c r="F338" s="130">
        <f>IF($F$7='CHUNG TU'!I329,'CHUNG TU'!J329,IF($F$7='CHUNG TU'!J329,'CHUNG TU'!I329,""))</f>
      </c>
      <c r="G338" s="130">
        <f>IF($F$7='CHUNG TU'!I329,'CHUNG TU'!$L329,0)</f>
        <v>0</v>
      </c>
      <c r="H338" s="130">
        <f>IF($F$7='CHUNG TU'!J329,'CHUNG TU'!$L329,0)</f>
        <v>0</v>
      </c>
      <c r="I338" s="130">
        <f>IF(G338+H338&lt;&gt;0,$I$10+SUM($G$14:G338)-SUM($H$14:H338),0)</f>
        <v>0</v>
      </c>
    </row>
    <row r="339" spans="2:9" ht="14.25">
      <c r="B339" s="129">
        <f>IF($F339&lt;&gt;"",'CHUNG TU'!A330,"")</f>
      </c>
      <c r="C339" s="129">
        <f>IF($F339&lt;&gt;"",'CHUNG TU'!B330,"")</f>
      </c>
      <c r="D339" s="129">
        <f>IF($F339&lt;&gt;"",'CHUNG TU'!F330,"")</f>
      </c>
      <c r="E339" s="129">
        <f>IF($F339&lt;&gt;"",'CHUNG TU'!H330,"")</f>
      </c>
      <c r="F339" s="130">
        <f>IF($F$7='CHUNG TU'!I330,'CHUNG TU'!J330,IF($F$7='CHUNG TU'!J330,'CHUNG TU'!I330,""))</f>
      </c>
      <c r="G339" s="130">
        <f>IF($F$7='CHUNG TU'!I330,'CHUNG TU'!$L330,0)</f>
        <v>0</v>
      </c>
      <c r="H339" s="130">
        <f>IF($F$7='CHUNG TU'!J330,'CHUNG TU'!$L330,0)</f>
        <v>0</v>
      </c>
      <c r="I339" s="130">
        <f>IF(G339+H339&lt;&gt;0,$I$10+SUM($G$14:G339)-SUM($H$14:H339),0)</f>
        <v>0</v>
      </c>
    </row>
    <row r="340" spans="2:9" ht="14.25">
      <c r="B340" s="129">
        <f>IF($F340&lt;&gt;"",'CHUNG TU'!A331,"")</f>
      </c>
      <c r="C340" s="129">
        <f>IF($F340&lt;&gt;"",'CHUNG TU'!B331,"")</f>
      </c>
      <c r="D340" s="129">
        <f>IF($F340&lt;&gt;"",'CHUNG TU'!F331,"")</f>
      </c>
      <c r="E340" s="129">
        <f>IF($F340&lt;&gt;"",'CHUNG TU'!H331,"")</f>
      </c>
      <c r="F340" s="130">
        <f>IF($F$7='CHUNG TU'!I331,'CHUNG TU'!J331,IF($F$7='CHUNG TU'!J331,'CHUNG TU'!I331,""))</f>
      </c>
      <c r="G340" s="130">
        <f>IF($F$7='CHUNG TU'!I331,'CHUNG TU'!$L331,0)</f>
        <v>0</v>
      </c>
      <c r="H340" s="130">
        <f>IF($F$7='CHUNG TU'!J331,'CHUNG TU'!$L331,0)</f>
        <v>0</v>
      </c>
      <c r="I340" s="130">
        <f>IF(G340+H340&lt;&gt;0,$I$10+SUM($G$14:G340)-SUM($H$14:H340),0)</f>
        <v>0</v>
      </c>
    </row>
    <row r="341" spans="2:9" ht="12.75">
      <c r="B341" s="44"/>
      <c r="C341" s="44"/>
      <c r="D341" s="44"/>
      <c r="E341" s="131"/>
      <c r="F341" s="43"/>
      <c r="G341" s="42"/>
      <c r="H341" s="42"/>
      <c r="I341" s="39"/>
    </row>
    <row r="342" spans="2:9" ht="12.75">
      <c r="B342" s="44"/>
      <c r="C342" s="44"/>
      <c r="D342" s="44"/>
      <c r="E342" s="131"/>
      <c r="F342" s="43"/>
      <c r="G342" s="42"/>
      <c r="H342" s="42"/>
      <c r="I342" s="39"/>
    </row>
    <row r="343" spans="2:9" ht="12.75">
      <c r="B343" s="44"/>
      <c r="C343" s="44"/>
      <c r="D343" s="44"/>
      <c r="E343" s="131"/>
      <c r="F343" s="43"/>
      <c r="G343" s="42"/>
      <c r="H343" s="42"/>
      <c r="I343" s="39"/>
    </row>
    <row r="344" spans="2:9" ht="12.75">
      <c r="B344" s="44"/>
      <c r="C344" s="44"/>
      <c r="D344" s="44"/>
      <c r="E344" s="131"/>
      <c r="F344" s="43"/>
      <c r="G344" s="42"/>
      <c r="H344" s="42"/>
      <c r="I344" s="39"/>
    </row>
    <row r="345" spans="2:9" ht="12.75">
      <c r="B345" s="44"/>
      <c r="C345" s="44"/>
      <c r="D345" s="44"/>
      <c r="E345" s="131"/>
      <c r="F345" s="43"/>
      <c r="G345" s="42"/>
      <c r="H345" s="42"/>
      <c r="I345" s="39"/>
    </row>
    <row r="346" spans="2:9" ht="12.75">
      <c r="B346" s="44"/>
      <c r="C346" s="44"/>
      <c r="D346" s="44"/>
      <c r="E346" s="131"/>
      <c r="F346" s="43"/>
      <c r="G346" s="42"/>
      <c r="H346" s="42"/>
      <c r="I346" s="39"/>
    </row>
    <row r="347" spans="2:9" ht="12.75">
      <c r="B347" s="44"/>
      <c r="C347" s="44"/>
      <c r="D347" s="44"/>
      <c r="E347" s="131"/>
      <c r="F347" s="43"/>
      <c r="G347" s="42"/>
      <c r="H347" s="42"/>
      <c r="I347" s="39"/>
    </row>
    <row r="348" spans="2:9" ht="12.75">
      <c r="B348" s="44"/>
      <c r="C348" s="44"/>
      <c r="D348" s="44"/>
      <c r="E348" s="131"/>
      <c r="F348" s="43"/>
      <c r="G348" s="42"/>
      <c r="H348" s="42"/>
      <c r="I348" s="39"/>
    </row>
    <row r="349" spans="2:9" ht="12.75">
      <c r="B349" s="44"/>
      <c r="C349" s="44"/>
      <c r="D349" s="44"/>
      <c r="E349" s="131"/>
      <c r="F349" s="43"/>
      <c r="G349" s="42"/>
      <c r="H349" s="42"/>
      <c r="I349" s="39"/>
    </row>
    <row r="350" spans="2:9" ht="12.75">
      <c r="B350" s="44"/>
      <c r="C350" s="44"/>
      <c r="D350" s="44"/>
      <c r="E350" s="131"/>
      <c r="F350" s="43"/>
      <c r="G350" s="42"/>
      <c r="H350" s="42"/>
      <c r="I350" s="39"/>
    </row>
    <row r="351" spans="2:9" ht="12.75">
      <c r="B351" s="44"/>
      <c r="C351" s="44"/>
      <c r="D351" s="44"/>
      <c r="E351" s="131"/>
      <c r="F351" s="43"/>
      <c r="G351" s="42"/>
      <c r="H351" s="42"/>
      <c r="I351" s="39"/>
    </row>
    <row r="352" spans="2:9" ht="12.75">
      <c r="B352" s="44"/>
      <c r="C352" s="44"/>
      <c r="D352" s="44"/>
      <c r="E352" s="131"/>
      <c r="F352" s="43"/>
      <c r="G352" s="42"/>
      <c r="H352" s="42"/>
      <c r="I352" s="39"/>
    </row>
    <row r="353" spans="2:9" ht="12.75">
      <c r="B353" s="44"/>
      <c r="C353" s="44"/>
      <c r="D353" s="44"/>
      <c r="E353" s="131"/>
      <c r="F353" s="43"/>
      <c r="G353" s="42"/>
      <c r="H353" s="42"/>
      <c r="I353" s="39"/>
    </row>
  </sheetData>
  <sheetProtection/>
  <autoFilter ref="B13:J340"/>
  <mergeCells count="7">
    <mergeCell ref="B6:I6"/>
    <mergeCell ref="B8:B9"/>
    <mergeCell ref="C8:D8"/>
    <mergeCell ref="E8:E9"/>
    <mergeCell ref="F8:F9"/>
    <mergeCell ref="G8:H8"/>
    <mergeCell ref="I8:I9"/>
  </mergeCells>
  <dataValidations count="1">
    <dataValidation type="list" allowBlank="1" showInputMessage="1" showErrorMessage="1" sqref="F7">
      <formula1>$J$8:$J$9</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theme="0"/>
  </sheetPr>
  <dimension ref="B2:N354"/>
  <sheetViews>
    <sheetView showGridLines="0" zoomScale="130" zoomScaleNormal="130" zoomScalePageLayoutView="0" workbookViewId="0" topLeftCell="C7">
      <selection activeCell="M15" sqref="M15"/>
    </sheetView>
  </sheetViews>
  <sheetFormatPr defaultColWidth="9.140625" defaultRowHeight="12.75"/>
  <cols>
    <col min="1" max="1" width="3.7109375" style="0" customWidth="1"/>
    <col min="5" max="5" width="17.00390625" style="0" customWidth="1"/>
    <col min="6" max="6" width="13.00390625" style="0" customWidth="1"/>
    <col min="7" max="7" width="15.00390625" style="0" bestFit="1" customWidth="1"/>
    <col min="8" max="8" width="14.140625" style="0" bestFit="1" customWidth="1"/>
    <col min="9" max="11" width="9.421875" style="0" bestFit="1" customWidth="1"/>
    <col min="12" max="12" width="10.28125" style="0" customWidth="1"/>
    <col min="13" max="13" width="15.00390625" style="0" bestFit="1" customWidth="1"/>
    <col min="14" max="14" width="7.57421875" style="0" bestFit="1" customWidth="1"/>
  </cols>
  <sheetData>
    <row r="2" spans="2:14" ht="15.75">
      <c r="B2" s="16" t="s">
        <v>657</v>
      </c>
      <c r="C2" s="16"/>
      <c r="D2" s="16"/>
      <c r="E2" s="16"/>
      <c r="F2" s="16"/>
      <c r="G2" s="17"/>
      <c r="H2" s="17"/>
      <c r="I2" s="17"/>
      <c r="J2" s="240" t="s">
        <v>525</v>
      </c>
      <c r="K2" s="240"/>
      <c r="L2" s="240"/>
      <c r="M2" s="240"/>
      <c r="N2" s="240"/>
    </row>
    <row r="3" spans="2:14" ht="15.75">
      <c r="B3" s="16" t="s">
        <v>517</v>
      </c>
      <c r="C3" s="16"/>
      <c r="D3" s="16"/>
      <c r="E3" s="16"/>
      <c r="F3" s="16"/>
      <c r="G3" s="18"/>
      <c r="H3" s="18"/>
      <c r="I3" s="18"/>
      <c r="J3" s="19"/>
      <c r="K3" s="19"/>
      <c r="L3" s="18" t="s">
        <v>867</v>
      </c>
      <c r="M3" s="19"/>
      <c r="N3" s="19"/>
    </row>
    <row r="4" spans="2:14" ht="15.75">
      <c r="B4" s="16" t="s">
        <v>1009</v>
      </c>
      <c r="C4" s="16"/>
      <c r="D4" s="16"/>
      <c r="E4" s="16"/>
      <c r="F4" s="16"/>
      <c r="G4" s="18"/>
      <c r="H4" s="18"/>
      <c r="I4" s="18"/>
      <c r="J4" s="19"/>
      <c r="K4" s="19"/>
      <c r="L4" s="18" t="s">
        <v>868</v>
      </c>
      <c r="M4" s="19"/>
      <c r="N4" s="19"/>
    </row>
    <row r="6" spans="2:14" s="2" customFormat="1" ht="20.25" customHeight="1">
      <c r="B6" s="245" t="s">
        <v>146</v>
      </c>
      <c r="C6" s="245"/>
      <c r="D6" s="245"/>
      <c r="E6" s="245"/>
      <c r="F6" s="245"/>
      <c r="G6" s="245"/>
      <c r="H6" s="245"/>
      <c r="I6" s="245"/>
      <c r="J6" s="245"/>
      <c r="K6" s="245"/>
      <c r="L6" s="245"/>
      <c r="M6" s="245"/>
      <c r="N6" s="245"/>
    </row>
    <row r="7" spans="6:9" s="2" customFormat="1" ht="12.75">
      <c r="F7" s="2" t="s">
        <v>121</v>
      </c>
      <c r="H7" s="191" t="s">
        <v>1357</v>
      </c>
      <c r="I7" s="15"/>
    </row>
    <row r="8" s="8" customFormat="1" ht="12.75"/>
    <row r="9" spans="2:14" s="2" customFormat="1" ht="12.75" customHeight="1">
      <c r="B9" s="230" t="s">
        <v>123</v>
      </c>
      <c r="C9" s="233" t="s">
        <v>124</v>
      </c>
      <c r="D9" s="234"/>
      <c r="E9" s="230" t="s">
        <v>108</v>
      </c>
      <c r="F9" s="230" t="s">
        <v>118</v>
      </c>
      <c r="G9" s="242" t="s">
        <v>147</v>
      </c>
      <c r="H9" s="243"/>
      <c r="I9" s="243"/>
      <c r="J9" s="243"/>
      <c r="K9" s="243"/>
      <c r="L9" s="244"/>
      <c r="M9" s="233" t="s">
        <v>149</v>
      </c>
      <c r="N9" s="234"/>
    </row>
    <row r="10" spans="2:14" s="2" customFormat="1" ht="12.75">
      <c r="B10" s="231"/>
      <c r="C10" s="235"/>
      <c r="D10" s="236"/>
      <c r="E10" s="231"/>
      <c r="F10" s="238"/>
      <c r="G10" s="145" t="s">
        <v>495</v>
      </c>
      <c r="H10" s="145" t="s">
        <v>503</v>
      </c>
      <c r="I10" s="145" t="s">
        <v>122</v>
      </c>
      <c r="J10" s="145" t="s">
        <v>497</v>
      </c>
      <c r="K10" s="241" t="s">
        <v>125</v>
      </c>
      <c r="L10" s="241"/>
      <c r="M10" s="235"/>
      <c r="N10" s="236"/>
    </row>
    <row r="11" spans="2:14" s="2" customFormat="1" ht="25.5">
      <c r="B11" s="232"/>
      <c r="C11" s="58" t="s">
        <v>126</v>
      </c>
      <c r="D11" s="58" t="s">
        <v>127</v>
      </c>
      <c r="E11" s="232"/>
      <c r="F11" s="239"/>
      <c r="G11" s="146"/>
      <c r="H11" s="146"/>
      <c r="I11" s="146"/>
      <c r="J11" s="146"/>
      <c r="K11" s="58" t="s">
        <v>128</v>
      </c>
      <c r="L11" s="58" t="s">
        <v>121</v>
      </c>
      <c r="M11" s="58" t="s">
        <v>128</v>
      </c>
      <c r="N11" s="58" t="s">
        <v>148</v>
      </c>
    </row>
    <row r="12" spans="2:14" s="33" customFormat="1" ht="12.75">
      <c r="B12" s="193"/>
      <c r="C12" s="194"/>
      <c r="D12" s="194"/>
      <c r="E12" s="195" t="s">
        <v>129</v>
      </c>
      <c r="F12" s="194">
        <f>SUM(F14:F340)</f>
        <v>191503777.77777776</v>
      </c>
      <c r="G12" s="194">
        <f aca="true" t="shared" si="0" ref="G12:M12">SUM(G14:G340)</f>
        <v>158227777.77777776</v>
      </c>
      <c r="H12" s="194">
        <f t="shared" si="0"/>
        <v>33276000</v>
      </c>
      <c r="I12" s="194">
        <f t="shared" si="0"/>
        <v>0</v>
      </c>
      <c r="J12" s="194">
        <f t="shared" si="0"/>
        <v>0</v>
      </c>
      <c r="K12" s="194">
        <f t="shared" si="0"/>
        <v>0</v>
      </c>
      <c r="L12" s="194"/>
      <c r="M12" s="194">
        <f t="shared" si="0"/>
        <v>191503777.77777776</v>
      </c>
      <c r="N12" s="194"/>
    </row>
    <row r="13" spans="2:14" ht="12.75">
      <c r="B13" s="4">
        <v>1</v>
      </c>
      <c r="C13" s="7">
        <v>2</v>
      </c>
      <c r="D13" s="7">
        <v>3</v>
      </c>
      <c r="E13" s="7">
        <v>4</v>
      </c>
      <c r="F13" s="7">
        <v>5</v>
      </c>
      <c r="G13" s="7">
        <v>6</v>
      </c>
      <c r="H13" s="7">
        <v>7</v>
      </c>
      <c r="I13" s="7"/>
      <c r="J13" s="7">
        <v>8</v>
      </c>
      <c r="K13" s="7">
        <v>10</v>
      </c>
      <c r="L13" s="7">
        <v>11</v>
      </c>
      <c r="M13" s="7">
        <v>10</v>
      </c>
      <c r="N13" s="7">
        <v>11</v>
      </c>
    </row>
    <row r="14" spans="2:14" ht="12.75">
      <c r="B14" s="192">
        <f>IF($F14+$M14&lt;&gt;0,'CHUNG TU'!A5,"")</f>
      </c>
      <c r="C14" s="192">
        <f>IF($F14+$M14&lt;&gt;0,IF('CHUNG TU'!B5&lt;&gt;"",'CHUNG TU'!B5,IF('CHUNG TU'!C5&lt;&gt;"",'CHUNG TU'!C5,'CHUNG TU'!D5)),"")</f>
      </c>
      <c r="D14" s="192">
        <f>IF($F14+$M14&lt;&gt;0,'CHUNG TU'!F5,"")</f>
      </c>
      <c r="E14" s="192">
        <f>IF($F14+$M14&lt;&gt;0,'CHUNG TU'!H5,"")</f>
      </c>
      <c r="F14" s="192">
        <f>IF(LEFT('CHUNG TU'!I5,3)='CPSXKD 622'!$H$7,'CHUNG TU'!$L5,0)</f>
        <v>0</v>
      </c>
      <c r="G14" s="192">
        <f>IF(AND($F14&lt;&gt;0,LEFT('CHUNG TU'!$J5,LEN('CPSXKD 622'!G$10))='CPSXKD 622'!G$10),'CPSXKD 622'!$F14,0)</f>
        <v>0</v>
      </c>
      <c r="H14" s="192">
        <f>IF(AND($F14&lt;&gt;0,LEFT('CHUNG TU'!$J5,LEN('CPSXKD 622'!H$10))='CPSXKD 622'!H$10),'CPSXKD 622'!$F14,0)</f>
        <v>0</v>
      </c>
      <c r="I14" s="192">
        <f>IF(AND($F14&lt;&gt;0,LEFT('CHUNG TU'!$J5,LEN('CPSXKD 622'!I$10))='CPSXKD 622'!I$10),'CPSXKD 622'!$F14,0)</f>
        <v>0</v>
      </c>
      <c r="J14" s="192">
        <f>IF(AND($F14&lt;&gt;0,LEFT('CHUNG TU'!$J5,LEN('CPSXKD 622'!J$10))='CPSXKD 622'!J$10),'CPSXKD 622'!$F14,0)</f>
        <v>0</v>
      </c>
      <c r="K14" s="192">
        <f>F14-SUM(G14:J14)</f>
        <v>0</v>
      </c>
      <c r="L14" s="201">
        <f>IF(F14&lt;&gt;0,'CHUNG TU'!J5,"")</f>
      </c>
      <c r="M14" s="192">
        <f>IF(LEFT('CHUNG TU'!J5,3)='CPSXKD 622'!$H$7,'CHUNG TU'!$L5,0)</f>
        <v>0</v>
      </c>
      <c r="N14" s="192">
        <f>IF(M14&lt;&gt;0,'CHUNG TU'!I5,"")</f>
      </c>
    </row>
    <row r="15" spans="2:14" ht="12.75">
      <c r="B15" s="192">
        <f>IF($F15+$M15&lt;&gt;0,'CHUNG TU'!A6,"")</f>
      </c>
      <c r="C15" s="192">
        <f>IF($F15+$M15&lt;&gt;0,IF('CHUNG TU'!B6&lt;&gt;"",'CHUNG TU'!B6,IF('CHUNG TU'!C6&lt;&gt;"",'CHUNG TU'!C6,'CHUNG TU'!D6)),"")</f>
      </c>
      <c r="D15" s="192">
        <f>IF($F15+$M15&lt;&gt;0,'CHUNG TU'!F6,"")</f>
      </c>
      <c r="E15" s="192">
        <f>IF($F15+$M15&lt;&gt;0,'CHUNG TU'!H6,"")</f>
      </c>
      <c r="F15" s="192">
        <f>IF(LEFT('CHUNG TU'!I6,3)='CPSXKD 622'!$H$7,'CHUNG TU'!$L6,0)</f>
        <v>0</v>
      </c>
      <c r="G15" s="192">
        <f>IF(AND($F15&lt;&gt;0,LEFT('CHUNG TU'!$J6,LEN('CPSXKD 622'!G$10))='CPSXKD 622'!G$10),'CPSXKD 622'!$F15,0)</f>
        <v>0</v>
      </c>
      <c r="H15" s="192">
        <f>IF(AND($F15&lt;&gt;0,LEFT('CHUNG TU'!$J6,LEN('CPSXKD 622'!H$10))='CPSXKD 622'!H$10),'CPSXKD 622'!$F15,0)</f>
        <v>0</v>
      </c>
      <c r="I15" s="192">
        <f>IF(AND($F15&lt;&gt;0,LEFT('CHUNG TU'!$J6,LEN('CPSXKD 622'!I$10))='CPSXKD 622'!I$10),'CPSXKD 622'!$F15,0)</f>
        <v>0</v>
      </c>
      <c r="J15" s="192">
        <f>IF(AND($F15&lt;&gt;0,LEFT('CHUNG TU'!$J6,LEN('CPSXKD 622'!J$10))='CPSXKD 622'!J$10),'CPSXKD 622'!$F15,0)</f>
        <v>0</v>
      </c>
      <c r="K15" s="192">
        <f aca="true" t="shared" si="1" ref="K15:K78">F15-SUM(G15:J15)</f>
        <v>0</v>
      </c>
      <c r="L15" s="201">
        <f>IF(F15&lt;&gt;0,'CHUNG TU'!J6,"")</f>
      </c>
      <c r="M15" s="192">
        <f>IF(LEFT('CHUNG TU'!J6,3)='CPSXKD 622'!$H$7,'CHUNG TU'!$L6,0)</f>
        <v>0</v>
      </c>
      <c r="N15" s="192">
        <f>IF(M15&lt;&gt;0,'CHUNG TU'!I6,"")</f>
      </c>
    </row>
    <row r="16" spans="2:14" ht="12.75">
      <c r="B16" s="192">
        <f>IF($F16+$M16&lt;&gt;0,'CHUNG TU'!A7,"")</f>
      </c>
      <c r="C16" s="192">
        <f>IF($F16+$M16&lt;&gt;0,IF('CHUNG TU'!B7&lt;&gt;"",'CHUNG TU'!B7,IF('CHUNG TU'!C7&lt;&gt;"",'CHUNG TU'!C7,'CHUNG TU'!D7)),"")</f>
      </c>
      <c r="D16" s="192">
        <f>IF($F16+$M16&lt;&gt;0,'CHUNG TU'!F7,"")</f>
      </c>
      <c r="E16" s="192">
        <f>IF($F16+$M16&lt;&gt;0,'CHUNG TU'!H7,"")</f>
      </c>
      <c r="F16" s="192">
        <f>IF(LEFT('CHUNG TU'!I7,3)='CPSXKD 622'!$H$7,'CHUNG TU'!$L7,0)</f>
        <v>0</v>
      </c>
      <c r="G16" s="192">
        <f>IF(AND($F16&lt;&gt;0,LEFT('CHUNG TU'!$J7,LEN('CPSXKD 622'!G$10))='CPSXKD 622'!G$10),'CPSXKD 622'!$F16,0)</f>
        <v>0</v>
      </c>
      <c r="H16" s="192">
        <f>IF(AND($F16&lt;&gt;0,LEFT('CHUNG TU'!$J7,LEN('CPSXKD 622'!H$10))='CPSXKD 622'!H$10),'CPSXKD 622'!$F16,0)</f>
        <v>0</v>
      </c>
      <c r="I16" s="192">
        <f>IF(AND($F16&lt;&gt;0,LEFT('CHUNG TU'!$J7,LEN('CPSXKD 622'!I$10))='CPSXKD 622'!I$10),'CPSXKD 622'!$F16,0)</f>
        <v>0</v>
      </c>
      <c r="J16" s="192">
        <f>IF(AND($F16&lt;&gt;0,LEFT('CHUNG TU'!$J7,LEN('CPSXKD 622'!J$10))='CPSXKD 622'!J$10),'CPSXKD 622'!$F16,0)</f>
        <v>0</v>
      </c>
      <c r="K16" s="192">
        <f t="shared" si="1"/>
        <v>0</v>
      </c>
      <c r="L16" s="201">
        <f>IF(F16&lt;&gt;0,'CHUNG TU'!J7,"")</f>
      </c>
      <c r="M16" s="192">
        <f>IF(LEFT('CHUNG TU'!J7,3)='CPSXKD 622'!$H$7,'CHUNG TU'!$L7,0)</f>
        <v>0</v>
      </c>
      <c r="N16" s="192">
        <f>IF(M16&lt;&gt;0,'CHUNG TU'!I7,"")</f>
      </c>
    </row>
    <row r="17" spans="2:14" ht="12.75">
      <c r="B17" s="192">
        <f>IF($F17+$M17&lt;&gt;0,'CHUNG TU'!A8,"")</f>
      </c>
      <c r="C17" s="192">
        <f>IF($F17+$M17&lt;&gt;0,IF('CHUNG TU'!B8&lt;&gt;"",'CHUNG TU'!B8,IF('CHUNG TU'!C8&lt;&gt;"",'CHUNG TU'!C8,'CHUNG TU'!D8)),"")</f>
      </c>
      <c r="D17" s="192">
        <f>IF($F17+$M17&lt;&gt;0,'CHUNG TU'!F8,"")</f>
      </c>
      <c r="E17" s="192">
        <f>IF($F17+$M17&lt;&gt;0,'CHUNG TU'!H8,"")</f>
      </c>
      <c r="F17" s="192">
        <f>IF(LEFT('CHUNG TU'!I8,3)='CPSXKD 622'!$H$7,'CHUNG TU'!$L8,0)</f>
        <v>0</v>
      </c>
      <c r="G17" s="192">
        <f>IF(AND($F17&lt;&gt;0,LEFT('CHUNG TU'!$J8,LEN('CPSXKD 622'!G$10))='CPSXKD 622'!G$10),'CPSXKD 622'!$F17,0)</f>
        <v>0</v>
      </c>
      <c r="H17" s="192">
        <f>IF(AND($F17&lt;&gt;0,LEFT('CHUNG TU'!$J8,LEN('CPSXKD 622'!H$10))='CPSXKD 622'!H$10),'CPSXKD 622'!$F17,0)</f>
        <v>0</v>
      </c>
      <c r="I17" s="192">
        <f>IF(AND($F17&lt;&gt;0,LEFT('CHUNG TU'!$J8,LEN('CPSXKD 622'!I$10))='CPSXKD 622'!I$10),'CPSXKD 622'!$F17,0)</f>
        <v>0</v>
      </c>
      <c r="J17" s="192">
        <f>IF(AND($F17&lt;&gt;0,LEFT('CHUNG TU'!$J8,LEN('CPSXKD 622'!J$10))='CPSXKD 622'!J$10),'CPSXKD 622'!$F17,0)</f>
        <v>0</v>
      </c>
      <c r="K17" s="192">
        <f t="shared" si="1"/>
        <v>0</v>
      </c>
      <c r="L17" s="201">
        <f>IF(F17&lt;&gt;0,'CHUNG TU'!J8,"")</f>
      </c>
      <c r="M17" s="192">
        <f>IF(LEFT('CHUNG TU'!J8,3)='CPSXKD 622'!$H$7,'CHUNG TU'!$L8,0)</f>
        <v>0</v>
      </c>
      <c r="N17" s="192">
        <f>IF(M17&lt;&gt;0,'CHUNG TU'!I8,"")</f>
      </c>
    </row>
    <row r="18" spans="2:14" ht="12.75">
      <c r="B18" s="192">
        <f>IF($F18+$M18&lt;&gt;0,'CHUNG TU'!A9,"")</f>
      </c>
      <c r="C18" s="192">
        <f>IF($F18+$M18&lt;&gt;0,IF('CHUNG TU'!B9&lt;&gt;"",'CHUNG TU'!B9,IF('CHUNG TU'!C9&lt;&gt;"",'CHUNG TU'!C9,'CHUNG TU'!D9)),"")</f>
      </c>
      <c r="D18" s="192">
        <f>IF($F18+$M18&lt;&gt;0,'CHUNG TU'!F9,"")</f>
      </c>
      <c r="E18" s="192">
        <f>IF($F18+$M18&lt;&gt;0,'CHUNG TU'!H9,"")</f>
      </c>
      <c r="F18" s="192">
        <f>IF(LEFT('CHUNG TU'!I9,3)='CPSXKD 622'!$H$7,'CHUNG TU'!$L9,0)</f>
        <v>0</v>
      </c>
      <c r="G18" s="192">
        <f>IF(AND($F18&lt;&gt;0,LEFT('CHUNG TU'!$J9,LEN('CPSXKD 622'!G$10))='CPSXKD 622'!G$10),'CPSXKD 622'!$F18,0)</f>
        <v>0</v>
      </c>
      <c r="H18" s="192">
        <f>IF(AND($F18&lt;&gt;0,LEFT('CHUNG TU'!$J9,LEN('CPSXKD 622'!H$10))='CPSXKD 622'!H$10),'CPSXKD 622'!$F18,0)</f>
        <v>0</v>
      </c>
      <c r="I18" s="192">
        <f>IF(AND($F18&lt;&gt;0,LEFT('CHUNG TU'!$J9,LEN('CPSXKD 622'!I$10))='CPSXKD 622'!I$10),'CPSXKD 622'!$F18,0)</f>
        <v>0</v>
      </c>
      <c r="J18" s="192">
        <f>IF(AND($F18&lt;&gt;0,LEFT('CHUNG TU'!$J9,LEN('CPSXKD 622'!J$10))='CPSXKD 622'!J$10),'CPSXKD 622'!$F18,0)</f>
        <v>0</v>
      </c>
      <c r="K18" s="192">
        <f t="shared" si="1"/>
        <v>0</v>
      </c>
      <c r="L18" s="201">
        <f>IF(F18&lt;&gt;0,'CHUNG TU'!J9,"")</f>
      </c>
      <c r="M18" s="192">
        <f>IF(LEFT('CHUNG TU'!J9,3)='CPSXKD 622'!$H$7,'CHUNG TU'!$L9,0)</f>
        <v>0</v>
      </c>
      <c r="N18" s="192">
        <f>IF(M18&lt;&gt;0,'CHUNG TU'!I9,"")</f>
      </c>
    </row>
    <row r="19" spans="2:14" ht="12.75">
      <c r="B19" s="192">
        <f>IF($F19+$M19&lt;&gt;0,'CHUNG TU'!A10,"")</f>
      </c>
      <c r="C19" s="192">
        <f>IF($F19+$M19&lt;&gt;0,IF('CHUNG TU'!B10&lt;&gt;"",'CHUNG TU'!B10,IF('CHUNG TU'!C10&lt;&gt;"",'CHUNG TU'!C10,'CHUNG TU'!D10)),"")</f>
      </c>
      <c r="D19" s="192">
        <f>IF($F19+$M19&lt;&gt;0,'CHUNG TU'!F10,"")</f>
      </c>
      <c r="E19" s="192">
        <f>IF($F19+$M19&lt;&gt;0,'CHUNG TU'!H10,"")</f>
      </c>
      <c r="F19" s="192">
        <f>IF(LEFT('CHUNG TU'!I10,3)='CPSXKD 622'!$H$7,'CHUNG TU'!$L10,0)</f>
        <v>0</v>
      </c>
      <c r="G19" s="192">
        <f>IF(AND($F19&lt;&gt;0,LEFT('CHUNG TU'!$J10,LEN('CPSXKD 622'!G$10))='CPSXKD 622'!G$10),'CPSXKD 622'!$F19,0)</f>
        <v>0</v>
      </c>
      <c r="H19" s="192">
        <f>IF(AND($F19&lt;&gt;0,LEFT('CHUNG TU'!$J10,LEN('CPSXKD 622'!H$10))='CPSXKD 622'!H$10),'CPSXKD 622'!$F19,0)</f>
        <v>0</v>
      </c>
      <c r="I19" s="192">
        <f>IF(AND($F19&lt;&gt;0,LEFT('CHUNG TU'!$J10,LEN('CPSXKD 622'!I$10))='CPSXKD 622'!I$10),'CPSXKD 622'!$F19,0)</f>
        <v>0</v>
      </c>
      <c r="J19" s="192">
        <f>IF(AND($F19&lt;&gt;0,LEFT('CHUNG TU'!$J10,LEN('CPSXKD 622'!J$10))='CPSXKD 622'!J$10),'CPSXKD 622'!$F19,0)</f>
        <v>0</v>
      </c>
      <c r="K19" s="192">
        <f t="shared" si="1"/>
        <v>0</v>
      </c>
      <c r="L19" s="201">
        <f>IF(F19&lt;&gt;0,'CHUNG TU'!J10,"")</f>
      </c>
      <c r="M19" s="192">
        <f>IF(LEFT('CHUNG TU'!J10,3)='CPSXKD 622'!$H$7,'CHUNG TU'!$L10,0)</f>
        <v>0</v>
      </c>
      <c r="N19" s="192">
        <f>IF(M19&lt;&gt;0,'CHUNG TU'!I10,"")</f>
      </c>
    </row>
    <row r="20" spans="2:14" ht="12.75">
      <c r="B20" s="192">
        <f>IF($F20+$M20&lt;&gt;0,'CHUNG TU'!A11,"")</f>
      </c>
      <c r="C20" s="192">
        <f>IF($F20+$M20&lt;&gt;0,IF('CHUNG TU'!B11&lt;&gt;"",'CHUNG TU'!B11,IF('CHUNG TU'!C11&lt;&gt;"",'CHUNG TU'!C11,'CHUNG TU'!D11)),"")</f>
      </c>
      <c r="D20" s="192">
        <f>IF($F20+$M20&lt;&gt;0,'CHUNG TU'!F11,"")</f>
      </c>
      <c r="E20" s="192">
        <f>IF($F20+$M20&lt;&gt;0,'CHUNG TU'!H11,"")</f>
      </c>
      <c r="F20" s="192">
        <f>IF(LEFT('CHUNG TU'!I11,3)='CPSXKD 622'!$H$7,'CHUNG TU'!$L11,0)</f>
        <v>0</v>
      </c>
      <c r="G20" s="192">
        <f>IF(AND($F20&lt;&gt;0,LEFT('CHUNG TU'!$J11,LEN('CPSXKD 622'!G$10))='CPSXKD 622'!G$10),'CPSXKD 622'!$F20,0)</f>
        <v>0</v>
      </c>
      <c r="H20" s="192">
        <f>IF(AND($F20&lt;&gt;0,LEFT('CHUNG TU'!$J11,LEN('CPSXKD 622'!H$10))='CPSXKD 622'!H$10),'CPSXKD 622'!$F20,0)</f>
        <v>0</v>
      </c>
      <c r="I20" s="192">
        <f>IF(AND($F20&lt;&gt;0,LEFT('CHUNG TU'!$J11,LEN('CPSXKD 622'!I$10))='CPSXKD 622'!I$10),'CPSXKD 622'!$F20,0)</f>
        <v>0</v>
      </c>
      <c r="J20" s="192">
        <f>IF(AND($F20&lt;&gt;0,LEFT('CHUNG TU'!$J11,LEN('CPSXKD 622'!J$10))='CPSXKD 622'!J$10),'CPSXKD 622'!$F20,0)</f>
        <v>0</v>
      </c>
      <c r="K20" s="192">
        <f t="shared" si="1"/>
        <v>0</v>
      </c>
      <c r="L20" s="201">
        <f>IF(F20&lt;&gt;0,'CHUNG TU'!J11,"")</f>
      </c>
      <c r="M20" s="192">
        <f>IF(LEFT('CHUNG TU'!J11,3)='CPSXKD 622'!$H$7,'CHUNG TU'!$L11,0)</f>
        <v>0</v>
      </c>
      <c r="N20" s="192">
        <f>IF(M20&lt;&gt;0,'CHUNG TU'!I11,"")</f>
      </c>
    </row>
    <row r="21" spans="2:14" ht="12.75">
      <c r="B21" s="192">
        <f>IF($F21+$M21&lt;&gt;0,'CHUNG TU'!A12,"")</f>
      </c>
      <c r="C21" s="192">
        <f>IF($F21+$M21&lt;&gt;0,IF('CHUNG TU'!B12&lt;&gt;"",'CHUNG TU'!B12,IF('CHUNG TU'!C12&lt;&gt;"",'CHUNG TU'!C12,'CHUNG TU'!D12)),"")</f>
      </c>
      <c r="D21" s="192">
        <f>IF($F21+$M21&lt;&gt;0,'CHUNG TU'!F12,"")</f>
      </c>
      <c r="E21" s="192">
        <f>IF($F21+$M21&lt;&gt;0,'CHUNG TU'!H12,"")</f>
      </c>
      <c r="F21" s="192">
        <f>IF(LEFT('CHUNG TU'!I12,3)='CPSXKD 622'!$H$7,'CHUNG TU'!$L12,0)</f>
        <v>0</v>
      </c>
      <c r="G21" s="192">
        <f>IF(AND($F21&lt;&gt;0,LEFT('CHUNG TU'!$J12,LEN('CPSXKD 622'!G$10))='CPSXKD 622'!G$10),'CPSXKD 622'!$F21,0)</f>
        <v>0</v>
      </c>
      <c r="H21" s="192">
        <f>IF(AND($F21&lt;&gt;0,LEFT('CHUNG TU'!$J12,LEN('CPSXKD 622'!H$10))='CPSXKD 622'!H$10),'CPSXKD 622'!$F21,0)</f>
        <v>0</v>
      </c>
      <c r="I21" s="192">
        <f>IF(AND($F21&lt;&gt;0,LEFT('CHUNG TU'!$J12,LEN('CPSXKD 622'!I$10))='CPSXKD 622'!I$10),'CPSXKD 622'!$F21,0)</f>
        <v>0</v>
      </c>
      <c r="J21" s="192">
        <f>IF(AND($F21&lt;&gt;0,LEFT('CHUNG TU'!$J12,LEN('CPSXKD 622'!J$10))='CPSXKD 622'!J$10),'CPSXKD 622'!$F21,0)</f>
        <v>0</v>
      </c>
      <c r="K21" s="192">
        <f t="shared" si="1"/>
        <v>0</v>
      </c>
      <c r="L21" s="201">
        <f>IF(F21&lt;&gt;0,'CHUNG TU'!J12,"")</f>
      </c>
      <c r="M21" s="192">
        <f>IF(LEFT('CHUNG TU'!J12,3)='CPSXKD 622'!$H$7,'CHUNG TU'!$L12,0)</f>
        <v>0</v>
      </c>
      <c r="N21" s="192">
        <f>IF(M21&lt;&gt;0,'CHUNG TU'!I12,"")</f>
      </c>
    </row>
    <row r="22" spans="2:14" ht="12.75">
      <c r="B22" s="192">
        <f>IF($F22+$M22&lt;&gt;0,'CHUNG TU'!A13,"")</f>
      </c>
      <c r="C22" s="192">
        <f>IF($F22+$M22&lt;&gt;0,IF('CHUNG TU'!B13&lt;&gt;"",'CHUNG TU'!B13,IF('CHUNG TU'!C13&lt;&gt;"",'CHUNG TU'!C13,'CHUNG TU'!D13)),"")</f>
      </c>
      <c r="D22" s="192">
        <f>IF($F22+$M22&lt;&gt;0,'CHUNG TU'!F13,"")</f>
      </c>
      <c r="E22" s="192">
        <f>IF($F22+$M22&lt;&gt;0,'CHUNG TU'!H13,"")</f>
      </c>
      <c r="F22" s="192">
        <f>IF(LEFT('CHUNG TU'!I13,3)='CPSXKD 622'!$H$7,'CHUNG TU'!$L13,0)</f>
        <v>0</v>
      </c>
      <c r="G22" s="192">
        <f>IF(AND($F22&lt;&gt;0,LEFT('CHUNG TU'!$J13,LEN('CPSXKD 622'!G$10))='CPSXKD 622'!G$10),'CPSXKD 622'!$F22,0)</f>
        <v>0</v>
      </c>
      <c r="H22" s="192">
        <f>IF(AND($F22&lt;&gt;0,LEFT('CHUNG TU'!$J13,LEN('CPSXKD 622'!H$10))='CPSXKD 622'!H$10),'CPSXKD 622'!$F22,0)</f>
        <v>0</v>
      </c>
      <c r="I22" s="192">
        <f>IF(AND($F22&lt;&gt;0,LEFT('CHUNG TU'!$J13,LEN('CPSXKD 622'!I$10))='CPSXKD 622'!I$10),'CPSXKD 622'!$F22,0)</f>
        <v>0</v>
      </c>
      <c r="J22" s="192">
        <f>IF(AND($F22&lt;&gt;0,LEFT('CHUNG TU'!$J13,LEN('CPSXKD 622'!J$10))='CPSXKD 622'!J$10),'CPSXKD 622'!$F22,0)</f>
        <v>0</v>
      </c>
      <c r="K22" s="192">
        <f t="shared" si="1"/>
        <v>0</v>
      </c>
      <c r="L22" s="201">
        <f>IF(F22&lt;&gt;0,'CHUNG TU'!J13,"")</f>
      </c>
      <c r="M22" s="192">
        <f>IF(LEFT('CHUNG TU'!J13,3)='CPSXKD 622'!$H$7,'CHUNG TU'!$L13,0)</f>
        <v>0</v>
      </c>
      <c r="N22" s="192">
        <f>IF(M22&lt;&gt;0,'CHUNG TU'!I13,"")</f>
      </c>
    </row>
    <row r="23" spans="2:14" ht="12.75">
      <c r="B23" s="192">
        <f>IF($F23+$M23&lt;&gt;0,'CHUNG TU'!A14,"")</f>
      </c>
      <c r="C23" s="192">
        <f>IF($F23+$M23&lt;&gt;0,IF('CHUNG TU'!B14&lt;&gt;"",'CHUNG TU'!B14,IF('CHUNG TU'!C14&lt;&gt;"",'CHUNG TU'!C14,'CHUNG TU'!D14)),"")</f>
      </c>
      <c r="D23" s="192">
        <f>IF($F23+$M23&lt;&gt;0,'CHUNG TU'!F14,"")</f>
      </c>
      <c r="E23" s="192">
        <f>IF($F23+$M23&lt;&gt;0,'CHUNG TU'!H14,"")</f>
      </c>
      <c r="F23" s="192">
        <f>IF(LEFT('CHUNG TU'!I14,3)='CPSXKD 622'!$H$7,'CHUNG TU'!$L14,0)</f>
        <v>0</v>
      </c>
      <c r="G23" s="192">
        <f>IF(AND($F23&lt;&gt;0,LEFT('CHUNG TU'!$J14,LEN('CPSXKD 622'!G$10))='CPSXKD 622'!G$10),'CPSXKD 622'!$F23,0)</f>
        <v>0</v>
      </c>
      <c r="H23" s="192">
        <f>IF(AND($F23&lt;&gt;0,LEFT('CHUNG TU'!$J14,LEN('CPSXKD 622'!H$10))='CPSXKD 622'!H$10),'CPSXKD 622'!$F23,0)</f>
        <v>0</v>
      </c>
      <c r="I23" s="192">
        <f>IF(AND($F23&lt;&gt;0,LEFT('CHUNG TU'!$J14,LEN('CPSXKD 622'!I$10))='CPSXKD 622'!I$10),'CPSXKD 622'!$F23,0)</f>
        <v>0</v>
      </c>
      <c r="J23" s="192">
        <f>IF(AND($F23&lt;&gt;0,LEFT('CHUNG TU'!$J14,LEN('CPSXKD 622'!J$10))='CPSXKD 622'!J$10),'CPSXKD 622'!$F23,0)</f>
        <v>0</v>
      </c>
      <c r="K23" s="192">
        <f t="shared" si="1"/>
        <v>0</v>
      </c>
      <c r="L23" s="201">
        <f>IF(F23&lt;&gt;0,'CHUNG TU'!J14,"")</f>
      </c>
      <c r="M23" s="192">
        <f>IF(LEFT('CHUNG TU'!J14,3)='CPSXKD 622'!$H$7,'CHUNG TU'!$L14,0)</f>
        <v>0</v>
      </c>
      <c r="N23" s="192">
        <f>IF(M23&lt;&gt;0,'CHUNG TU'!I14,"")</f>
      </c>
    </row>
    <row r="24" spans="2:14" ht="12.75">
      <c r="B24" s="192">
        <f>IF($F24+$M24&lt;&gt;0,'CHUNG TU'!A15,"")</f>
      </c>
      <c r="C24" s="192">
        <f>IF($F24+$M24&lt;&gt;0,IF('CHUNG TU'!B15&lt;&gt;"",'CHUNG TU'!B15,IF('CHUNG TU'!C15&lt;&gt;"",'CHUNG TU'!C15,'CHUNG TU'!D15)),"")</f>
      </c>
      <c r="D24" s="192">
        <f>IF($F24+$M24&lt;&gt;0,'CHUNG TU'!F15,"")</f>
      </c>
      <c r="E24" s="192">
        <f>IF($F24+$M24&lt;&gt;0,'CHUNG TU'!H15,"")</f>
      </c>
      <c r="F24" s="192">
        <f>IF(LEFT('CHUNG TU'!I15,3)='CPSXKD 622'!$H$7,'CHUNG TU'!$L15,0)</f>
        <v>0</v>
      </c>
      <c r="G24" s="192">
        <f>IF(AND($F24&lt;&gt;0,LEFT('CHUNG TU'!$J15,LEN('CPSXKD 622'!G$10))='CPSXKD 622'!G$10),'CPSXKD 622'!$F24,0)</f>
        <v>0</v>
      </c>
      <c r="H24" s="192">
        <f>IF(AND($F24&lt;&gt;0,LEFT('CHUNG TU'!$J15,LEN('CPSXKD 622'!H$10))='CPSXKD 622'!H$10),'CPSXKD 622'!$F24,0)</f>
        <v>0</v>
      </c>
      <c r="I24" s="192">
        <f>IF(AND($F24&lt;&gt;0,LEFT('CHUNG TU'!$J15,LEN('CPSXKD 622'!I$10))='CPSXKD 622'!I$10),'CPSXKD 622'!$F24,0)</f>
        <v>0</v>
      </c>
      <c r="J24" s="192">
        <f>IF(AND($F24&lt;&gt;0,LEFT('CHUNG TU'!$J15,LEN('CPSXKD 622'!J$10))='CPSXKD 622'!J$10),'CPSXKD 622'!$F24,0)</f>
        <v>0</v>
      </c>
      <c r="K24" s="192">
        <f t="shared" si="1"/>
        <v>0</v>
      </c>
      <c r="L24" s="201">
        <f>IF(F24&lt;&gt;0,'CHUNG TU'!J15,"")</f>
      </c>
      <c r="M24" s="192">
        <f>IF(LEFT('CHUNG TU'!J15,3)='CPSXKD 622'!$H$7,'CHUNG TU'!$L15,0)</f>
        <v>0</v>
      </c>
      <c r="N24" s="192">
        <f>IF(M24&lt;&gt;0,'CHUNG TU'!I15,"")</f>
      </c>
    </row>
    <row r="25" spans="2:14" ht="12.75">
      <c r="B25" s="192">
        <f>IF($F25+$M25&lt;&gt;0,'CHUNG TU'!A16,"")</f>
      </c>
      <c r="C25" s="192">
        <f>IF($F25+$M25&lt;&gt;0,IF('CHUNG TU'!B16&lt;&gt;"",'CHUNG TU'!B16,IF('CHUNG TU'!C16&lt;&gt;"",'CHUNG TU'!C16,'CHUNG TU'!D16)),"")</f>
      </c>
      <c r="D25" s="192">
        <f>IF($F25+$M25&lt;&gt;0,'CHUNG TU'!F16,"")</f>
      </c>
      <c r="E25" s="192">
        <f>IF($F25+$M25&lt;&gt;0,'CHUNG TU'!H16,"")</f>
      </c>
      <c r="F25" s="192">
        <f>IF(LEFT('CHUNG TU'!I16,3)='CPSXKD 622'!$H$7,'CHUNG TU'!$L16,0)</f>
        <v>0</v>
      </c>
      <c r="G25" s="192">
        <f>IF(AND($F25&lt;&gt;0,LEFT('CHUNG TU'!$J16,LEN('CPSXKD 622'!G$10))='CPSXKD 622'!G$10),'CPSXKD 622'!$F25,0)</f>
        <v>0</v>
      </c>
      <c r="H25" s="192">
        <f>IF(AND($F25&lt;&gt;0,LEFT('CHUNG TU'!$J16,LEN('CPSXKD 622'!H$10))='CPSXKD 622'!H$10),'CPSXKD 622'!$F25,0)</f>
        <v>0</v>
      </c>
      <c r="I25" s="192">
        <f>IF(AND($F25&lt;&gt;0,LEFT('CHUNG TU'!$J16,LEN('CPSXKD 622'!I$10))='CPSXKD 622'!I$10),'CPSXKD 622'!$F25,0)</f>
        <v>0</v>
      </c>
      <c r="J25" s="192">
        <f>IF(AND($F25&lt;&gt;0,LEFT('CHUNG TU'!$J16,LEN('CPSXKD 622'!J$10))='CPSXKD 622'!J$10),'CPSXKD 622'!$F25,0)</f>
        <v>0</v>
      </c>
      <c r="K25" s="192">
        <f t="shared" si="1"/>
        <v>0</v>
      </c>
      <c r="L25" s="201">
        <f>IF(F25&lt;&gt;0,'CHUNG TU'!J16,"")</f>
      </c>
      <c r="M25" s="192">
        <f>IF(LEFT('CHUNG TU'!J16,3)='CPSXKD 622'!$H$7,'CHUNG TU'!$L16,0)</f>
        <v>0</v>
      </c>
      <c r="N25" s="192">
        <f>IF(M25&lt;&gt;0,'CHUNG TU'!I16,"")</f>
      </c>
    </row>
    <row r="26" spans="2:14" ht="12.75">
      <c r="B26" s="192">
        <f>IF($F26+$M26&lt;&gt;0,'CHUNG TU'!A17,"")</f>
      </c>
      <c r="C26" s="192">
        <f>IF($F26+$M26&lt;&gt;0,IF('CHUNG TU'!B17&lt;&gt;"",'CHUNG TU'!B17,IF('CHUNG TU'!C17&lt;&gt;"",'CHUNG TU'!C17,'CHUNG TU'!D17)),"")</f>
      </c>
      <c r="D26" s="192">
        <f>IF($F26+$M26&lt;&gt;0,'CHUNG TU'!F17,"")</f>
      </c>
      <c r="E26" s="192">
        <f>IF($F26+$M26&lt;&gt;0,'CHUNG TU'!H17,"")</f>
      </c>
      <c r="F26" s="192">
        <f>IF(LEFT('CHUNG TU'!I17,3)='CPSXKD 622'!$H$7,'CHUNG TU'!$L17,0)</f>
        <v>0</v>
      </c>
      <c r="G26" s="192">
        <f>IF(AND($F26&lt;&gt;0,LEFT('CHUNG TU'!$J17,LEN('CPSXKD 622'!G$10))='CPSXKD 622'!G$10),'CPSXKD 622'!$F26,0)</f>
        <v>0</v>
      </c>
      <c r="H26" s="192">
        <f>IF(AND($F26&lt;&gt;0,LEFT('CHUNG TU'!$J17,LEN('CPSXKD 622'!H$10))='CPSXKD 622'!H$10),'CPSXKD 622'!$F26,0)</f>
        <v>0</v>
      </c>
      <c r="I26" s="192">
        <f>IF(AND($F26&lt;&gt;0,LEFT('CHUNG TU'!$J17,LEN('CPSXKD 622'!I$10))='CPSXKD 622'!I$10),'CPSXKD 622'!$F26,0)</f>
        <v>0</v>
      </c>
      <c r="J26" s="192">
        <f>IF(AND($F26&lt;&gt;0,LEFT('CHUNG TU'!$J17,LEN('CPSXKD 622'!J$10))='CPSXKD 622'!J$10),'CPSXKD 622'!$F26,0)</f>
        <v>0</v>
      </c>
      <c r="K26" s="192">
        <f t="shared" si="1"/>
        <v>0</v>
      </c>
      <c r="L26" s="201">
        <f>IF(F26&lt;&gt;0,'CHUNG TU'!J17,"")</f>
      </c>
      <c r="M26" s="192">
        <f>IF(LEFT('CHUNG TU'!J17,3)='CPSXKD 622'!$H$7,'CHUNG TU'!$L17,0)</f>
        <v>0</v>
      </c>
      <c r="N26" s="192">
        <f>IF(M26&lt;&gt;0,'CHUNG TU'!I17,"")</f>
      </c>
    </row>
    <row r="27" spans="2:14" ht="12.75">
      <c r="B27" s="192">
        <f>IF($F27+$M27&lt;&gt;0,'CHUNG TU'!A18,"")</f>
      </c>
      <c r="C27" s="192">
        <f>IF($F27+$M27&lt;&gt;0,IF('CHUNG TU'!B18&lt;&gt;"",'CHUNG TU'!B18,IF('CHUNG TU'!C18&lt;&gt;"",'CHUNG TU'!C18,'CHUNG TU'!D18)),"")</f>
      </c>
      <c r="D27" s="192">
        <f>IF($F27+$M27&lt;&gt;0,'CHUNG TU'!F18,"")</f>
      </c>
      <c r="E27" s="192">
        <f>IF($F27+$M27&lt;&gt;0,'CHUNG TU'!H18,"")</f>
      </c>
      <c r="F27" s="192">
        <f>IF(LEFT('CHUNG TU'!I18,3)='CPSXKD 622'!$H$7,'CHUNG TU'!$L18,0)</f>
        <v>0</v>
      </c>
      <c r="G27" s="192">
        <f>IF(AND($F27&lt;&gt;0,LEFT('CHUNG TU'!$J18,LEN('CPSXKD 622'!G$10))='CPSXKD 622'!G$10),'CPSXKD 622'!$F27,0)</f>
        <v>0</v>
      </c>
      <c r="H27" s="192">
        <f>IF(AND($F27&lt;&gt;0,LEFT('CHUNG TU'!$J18,LEN('CPSXKD 622'!H$10))='CPSXKD 622'!H$10),'CPSXKD 622'!$F27,0)</f>
        <v>0</v>
      </c>
      <c r="I27" s="192">
        <f>IF(AND($F27&lt;&gt;0,LEFT('CHUNG TU'!$J18,LEN('CPSXKD 622'!I$10))='CPSXKD 622'!I$10),'CPSXKD 622'!$F27,0)</f>
        <v>0</v>
      </c>
      <c r="J27" s="192">
        <f>IF(AND($F27&lt;&gt;0,LEFT('CHUNG TU'!$J18,LEN('CPSXKD 622'!J$10))='CPSXKD 622'!J$10),'CPSXKD 622'!$F27,0)</f>
        <v>0</v>
      </c>
      <c r="K27" s="192">
        <f t="shared" si="1"/>
        <v>0</v>
      </c>
      <c r="L27" s="201">
        <f>IF(F27&lt;&gt;0,'CHUNG TU'!J18,"")</f>
      </c>
      <c r="M27" s="192">
        <f>IF(LEFT('CHUNG TU'!J18,3)='CPSXKD 622'!$H$7,'CHUNG TU'!$L18,0)</f>
        <v>0</v>
      </c>
      <c r="N27" s="192">
        <f>IF(M27&lt;&gt;0,'CHUNG TU'!I18,"")</f>
      </c>
    </row>
    <row r="28" spans="2:14" ht="12.75">
      <c r="B28" s="192">
        <f>IF($F28+$M28&lt;&gt;0,'CHUNG TU'!A19,"")</f>
      </c>
      <c r="C28" s="192">
        <f>IF($F28+$M28&lt;&gt;0,IF('CHUNG TU'!B19&lt;&gt;"",'CHUNG TU'!B19,IF('CHUNG TU'!C19&lt;&gt;"",'CHUNG TU'!C19,'CHUNG TU'!D19)),"")</f>
      </c>
      <c r="D28" s="192">
        <f>IF($F28+$M28&lt;&gt;0,'CHUNG TU'!F19,"")</f>
      </c>
      <c r="E28" s="192">
        <f>IF($F28+$M28&lt;&gt;0,'CHUNG TU'!H19,"")</f>
      </c>
      <c r="F28" s="192">
        <f>IF(LEFT('CHUNG TU'!I19,3)='CPSXKD 622'!$H$7,'CHUNG TU'!$L19,0)</f>
        <v>0</v>
      </c>
      <c r="G28" s="192">
        <f>IF(AND($F28&lt;&gt;0,LEFT('CHUNG TU'!$J19,LEN('CPSXKD 622'!G$10))='CPSXKD 622'!G$10),'CPSXKD 622'!$F28,0)</f>
        <v>0</v>
      </c>
      <c r="H28" s="192">
        <f>IF(AND($F28&lt;&gt;0,LEFT('CHUNG TU'!$J19,LEN('CPSXKD 622'!H$10))='CPSXKD 622'!H$10),'CPSXKD 622'!$F28,0)</f>
        <v>0</v>
      </c>
      <c r="I28" s="192">
        <f>IF(AND($F28&lt;&gt;0,LEFT('CHUNG TU'!$J19,LEN('CPSXKD 622'!I$10))='CPSXKD 622'!I$10),'CPSXKD 622'!$F28,0)</f>
        <v>0</v>
      </c>
      <c r="J28" s="192">
        <f>IF(AND($F28&lt;&gt;0,LEFT('CHUNG TU'!$J19,LEN('CPSXKD 622'!J$10))='CPSXKD 622'!J$10),'CPSXKD 622'!$F28,0)</f>
        <v>0</v>
      </c>
      <c r="K28" s="192">
        <f t="shared" si="1"/>
        <v>0</v>
      </c>
      <c r="L28" s="201">
        <f>IF(F28&lt;&gt;0,'CHUNG TU'!J19,"")</f>
      </c>
      <c r="M28" s="192">
        <f>IF(LEFT('CHUNG TU'!J19,3)='CPSXKD 622'!$H$7,'CHUNG TU'!$L19,0)</f>
        <v>0</v>
      </c>
      <c r="N28" s="192">
        <f>IF(M28&lt;&gt;0,'CHUNG TU'!I19,"")</f>
      </c>
    </row>
    <row r="29" spans="2:14" ht="12.75">
      <c r="B29" s="192">
        <f>IF($F29+$M29&lt;&gt;0,'CHUNG TU'!A20,"")</f>
      </c>
      <c r="C29" s="192">
        <f>IF($F29+$M29&lt;&gt;0,IF('CHUNG TU'!B20&lt;&gt;"",'CHUNG TU'!B20,IF('CHUNG TU'!C20&lt;&gt;"",'CHUNG TU'!C20,'CHUNG TU'!D20)),"")</f>
      </c>
      <c r="D29" s="192">
        <f>IF($F29+$M29&lt;&gt;0,'CHUNG TU'!F20,"")</f>
      </c>
      <c r="E29" s="192">
        <f>IF($F29+$M29&lt;&gt;0,'CHUNG TU'!H20,"")</f>
      </c>
      <c r="F29" s="192">
        <f>IF(LEFT('CHUNG TU'!I20,3)='CPSXKD 622'!$H$7,'CHUNG TU'!$L20,0)</f>
        <v>0</v>
      </c>
      <c r="G29" s="192">
        <f>IF(AND($F29&lt;&gt;0,LEFT('CHUNG TU'!$J20,LEN('CPSXKD 622'!G$10))='CPSXKD 622'!G$10),'CPSXKD 622'!$F29,0)</f>
        <v>0</v>
      </c>
      <c r="H29" s="192">
        <f>IF(AND($F29&lt;&gt;0,LEFT('CHUNG TU'!$J20,LEN('CPSXKD 622'!H$10))='CPSXKD 622'!H$10),'CPSXKD 622'!$F29,0)</f>
        <v>0</v>
      </c>
      <c r="I29" s="192">
        <f>IF(AND($F29&lt;&gt;0,LEFT('CHUNG TU'!$J20,LEN('CPSXKD 622'!I$10))='CPSXKD 622'!I$10),'CPSXKD 622'!$F29,0)</f>
        <v>0</v>
      </c>
      <c r="J29" s="192">
        <f>IF(AND($F29&lt;&gt;0,LEFT('CHUNG TU'!$J20,LEN('CPSXKD 622'!J$10))='CPSXKD 622'!J$10),'CPSXKD 622'!$F29,0)</f>
        <v>0</v>
      </c>
      <c r="K29" s="192">
        <f t="shared" si="1"/>
        <v>0</v>
      </c>
      <c r="L29" s="201">
        <f>IF(F29&lt;&gt;0,'CHUNG TU'!J20,"")</f>
      </c>
      <c r="M29" s="192">
        <f>IF(LEFT('CHUNG TU'!J20,3)='CPSXKD 622'!$H$7,'CHUNG TU'!$L20,0)</f>
        <v>0</v>
      </c>
      <c r="N29" s="192">
        <f>IF(M29&lt;&gt;0,'CHUNG TU'!I20,"")</f>
      </c>
    </row>
    <row r="30" spans="2:14" ht="12.75">
      <c r="B30" s="192">
        <f>IF($F30+$M30&lt;&gt;0,'CHUNG TU'!A21,"")</f>
      </c>
      <c r="C30" s="192">
        <f>IF($F30+$M30&lt;&gt;0,IF('CHUNG TU'!B21&lt;&gt;"",'CHUNG TU'!B21,IF('CHUNG TU'!C21&lt;&gt;"",'CHUNG TU'!C21,'CHUNG TU'!D21)),"")</f>
      </c>
      <c r="D30" s="192">
        <f>IF($F30+$M30&lt;&gt;0,'CHUNG TU'!F21,"")</f>
      </c>
      <c r="E30" s="192">
        <f>IF($F30+$M30&lt;&gt;0,'CHUNG TU'!H21,"")</f>
      </c>
      <c r="F30" s="192">
        <f>IF(LEFT('CHUNG TU'!I21,3)='CPSXKD 622'!$H$7,'CHUNG TU'!$L21,0)</f>
        <v>0</v>
      </c>
      <c r="G30" s="192">
        <f>IF(AND($F30&lt;&gt;0,LEFT('CHUNG TU'!$J21,LEN('CPSXKD 622'!G$10))='CPSXKD 622'!G$10),'CPSXKD 622'!$F30,0)</f>
        <v>0</v>
      </c>
      <c r="H30" s="192">
        <f>IF(AND($F30&lt;&gt;0,LEFT('CHUNG TU'!$J21,LEN('CPSXKD 622'!H$10))='CPSXKD 622'!H$10),'CPSXKD 622'!$F30,0)</f>
        <v>0</v>
      </c>
      <c r="I30" s="192">
        <f>IF(AND($F30&lt;&gt;0,LEFT('CHUNG TU'!$J21,LEN('CPSXKD 622'!I$10))='CPSXKD 622'!I$10),'CPSXKD 622'!$F30,0)</f>
        <v>0</v>
      </c>
      <c r="J30" s="192">
        <f>IF(AND($F30&lt;&gt;0,LEFT('CHUNG TU'!$J21,LEN('CPSXKD 622'!J$10))='CPSXKD 622'!J$10),'CPSXKD 622'!$F30,0)</f>
        <v>0</v>
      </c>
      <c r="K30" s="192">
        <f t="shared" si="1"/>
        <v>0</v>
      </c>
      <c r="L30" s="201">
        <f>IF(F30&lt;&gt;0,'CHUNG TU'!J21,"")</f>
      </c>
      <c r="M30" s="192">
        <f>IF(LEFT('CHUNG TU'!J21,3)='CPSXKD 622'!$H$7,'CHUNG TU'!$L21,0)</f>
        <v>0</v>
      </c>
      <c r="N30" s="192">
        <f>IF(M30&lt;&gt;0,'CHUNG TU'!I21,"")</f>
      </c>
    </row>
    <row r="31" spans="2:14" ht="12.75">
      <c r="B31" s="192">
        <f>IF($F31+$M31&lt;&gt;0,'CHUNG TU'!A22,"")</f>
      </c>
      <c r="C31" s="192">
        <f>IF($F31+$M31&lt;&gt;0,IF('CHUNG TU'!B22&lt;&gt;"",'CHUNG TU'!B22,IF('CHUNG TU'!C22&lt;&gt;"",'CHUNG TU'!C22,'CHUNG TU'!D22)),"")</f>
      </c>
      <c r="D31" s="192">
        <f>IF($F31+$M31&lt;&gt;0,'CHUNG TU'!F22,"")</f>
      </c>
      <c r="E31" s="192">
        <f>IF($F31+$M31&lt;&gt;0,'CHUNG TU'!H22,"")</f>
      </c>
      <c r="F31" s="192">
        <f>IF(LEFT('CHUNG TU'!I22,3)='CPSXKD 622'!$H$7,'CHUNG TU'!$L22,0)</f>
        <v>0</v>
      </c>
      <c r="G31" s="192">
        <f>IF(AND($F31&lt;&gt;0,LEFT('CHUNG TU'!$J22,LEN('CPSXKD 622'!G$10))='CPSXKD 622'!G$10),'CPSXKD 622'!$F31,0)</f>
        <v>0</v>
      </c>
      <c r="H31" s="192">
        <f>IF(AND($F31&lt;&gt;0,LEFT('CHUNG TU'!$J22,LEN('CPSXKD 622'!H$10))='CPSXKD 622'!H$10),'CPSXKD 622'!$F31,0)</f>
        <v>0</v>
      </c>
      <c r="I31" s="192">
        <f>IF(AND($F31&lt;&gt;0,LEFT('CHUNG TU'!$J22,LEN('CPSXKD 622'!I$10))='CPSXKD 622'!I$10),'CPSXKD 622'!$F31,0)</f>
        <v>0</v>
      </c>
      <c r="J31" s="192">
        <f>IF(AND($F31&lt;&gt;0,LEFT('CHUNG TU'!$J22,LEN('CPSXKD 622'!J$10))='CPSXKD 622'!J$10),'CPSXKD 622'!$F31,0)</f>
        <v>0</v>
      </c>
      <c r="K31" s="192">
        <f t="shared" si="1"/>
        <v>0</v>
      </c>
      <c r="L31" s="201">
        <f>IF(F31&lt;&gt;0,'CHUNG TU'!J22,"")</f>
      </c>
      <c r="M31" s="192">
        <f>IF(LEFT('CHUNG TU'!J22,3)='CPSXKD 622'!$H$7,'CHUNG TU'!$L22,0)</f>
        <v>0</v>
      </c>
      <c r="N31" s="192">
        <f>IF(M31&lt;&gt;0,'CHUNG TU'!I22,"")</f>
      </c>
    </row>
    <row r="32" spans="2:14" ht="12.75">
      <c r="B32" s="192">
        <f>IF($F32+$M32&lt;&gt;0,'CHUNG TU'!A23,"")</f>
      </c>
      <c r="C32" s="192">
        <f>IF($F32+$M32&lt;&gt;0,IF('CHUNG TU'!B23&lt;&gt;"",'CHUNG TU'!B23,IF('CHUNG TU'!C23&lt;&gt;"",'CHUNG TU'!C23,'CHUNG TU'!D23)),"")</f>
      </c>
      <c r="D32" s="192">
        <f>IF($F32+$M32&lt;&gt;0,'CHUNG TU'!F23,"")</f>
      </c>
      <c r="E32" s="192">
        <f>IF($F32+$M32&lt;&gt;0,'CHUNG TU'!H23,"")</f>
      </c>
      <c r="F32" s="192">
        <f>IF(LEFT('CHUNG TU'!I23,3)='CPSXKD 622'!$H$7,'CHUNG TU'!$L23,0)</f>
        <v>0</v>
      </c>
      <c r="G32" s="192">
        <f>IF(AND($F32&lt;&gt;0,LEFT('CHUNG TU'!$J23,LEN('CPSXKD 622'!G$10))='CPSXKD 622'!G$10),'CPSXKD 622'!$F32,0)</f>
        <v>0</v>
      </c>
      <c r="H32" s="192">
        <f>IF(AND($F32&lt;&gt;0,LEFT('CHUNG TU'!$J23,LEN('CPSXKD 622'!H$10))='CPSXKD 622'!H$10),'CPSXKD 622'!$F32,0)</f>
        <v>0</v>
      </c>
      <c r="I32" s="192">
        <f>IF(AND($F32&lt;&gt;0,LEFT('CHUNG TU'!$J23,LEN('CPSXKD 622'!I$10))='CPSXKD 622'!I$10),'CPSXKD 622'!$F32,0)</f>
        <v>0</v>
      </c>
      <c r="J32" s="192">
        <f>IF(AND($F32&lt;&gt;0,LEFT('CHUNG TU'!$J23,LEN('CPSXKD 622'!J$10))='CPSXKD 622'!J$10),'CPSXKD 622'!$F32,0)</f>
        <v>0</v>
      </c>
      <c r="K32" s="192">
        <f t="shared" si="1"/>
        <v>0</v>
      </c>
      <c r="L32" s="201">
        <f>IF(F32&lt;&gt;0,'CHUNG TU'!J23,"")</f>
      </c>
      <c r="M32" s="192">
        <f>IF(LEFT('CHUNG TU'!J23,3)='CPSXKD 622'!$H$7,'CHUNG TU'!$L23,0)</f>
        <v>0</v>
      </c>
      <c r="N32" s="192">
        <f>IF(M32&lt;&gt;0,'CHUNG TU'!I23,"")</f>
      </c>
    </row>
    <row r="33" spans="2:14" ht="12.75">
      <c r="B33" s="192">
        <f>IF($F33+$M33&lt;&gt;0,'CHUNG TU'!A24,"")</f>
      </c>
      <c r="C33" s="192">
        <f>IF($F33+$M33&lt;&gt;0,IF('CHUNG TU'!B24&lt;&gt;"",'CHUNG TU'!B24,IF('CHUNG TU'!C24&lt;&gt;"",'CHUNG TU'!C24,'CHUNG TU'!D24)),"")</f>
      </c>
      <c r="D33" s="192">
        <f>IF($F33+$M33&lt;&gt;0,'CHUNG TU'!F24,"")</f>
      </c>
      <c r="E33" s="192">
        <f>IF($F33+$M33&lt;&gt;0,'CHUNG TU'!H24,"")</f>
      </c>
      <c r="F33" s="192">
        <f>IF(LEFT('CHUNG TU'!I24,3)='CPSXKD 622'!$H$7,'CHUNG TU'!$L24,0)</f>
        <v>0</v>
      </c>
      <c r="G33" s="192">
        <f>IF(AND($F33&lt;&gt;0,LEFT('CHUNG TU'!$J24,LEN('CPSXKD 622'!G$10))='CPSXKD 622'!G$10),'CPSXKD 622'!$F33,0)</f>
        <v>0</v>
      </c>
      <c r="H33" s="192">
        <f>IF(AND($F33&lt;&gt;0,LEFT('CHUNG TU'!$J24,LEN('CPSXKD 622'!H$10))='CPSXKD 622'!H$10),'CPSXKD 622'!$F33,0)</f>
        <v>0</v>
      </c>
      <c r="I33" s="192">
        <f>IF(AND($F33&lt;&gt;0,LEFT('CHUNG TU'!$J24,LEN('CPSXKD 622'!I$10))='CPSXKD 622'!I$10),'CPSXKD 622'!$F33,0)</f>
        <v>0</v>
      </c>
      <c r="J33" s="192">
        <f>IF(AND($F33&lt;&gt;0,LEFT('CHUNG TU'!$J24,LEN('CPSXKD 622'!J$10))='CPSXKD 622'!J$10),'CPSXKD 622'!$F33,0)</f>
        <v>0</v>
      </c>
      <c r="K33" s="192">
        <f t="shared" si="1"/>
        <v>0</v>
      </c>
      <c r="L33" s="201">
        <f>IF(F33&lt;&gt;0,'CHUNG TU'!J24,"")</f>
      </c>
      <c r="M33" s="192">
        <f>IF(LEFT('CHUNG TU'!J24,3)='CPSXKD 622'!$H$7,'CHUNG TU'!$L24,0)</f>
        <v>0</v>
      </c>
      <c r="N33" s="192">
        <f>IF(M33&lt;&gt;0,'CHUNG TU'!I24,"")</f>
      </c>
    </row>
    <row r="34" spans="2:14" ht="12.75">
      <c r="B34" s="192">
        <f>IF($F34+$M34&lt;&gt;0,'CHUNG TU'!A25,"")</f>
      </c>
      <c r="C34" s="192">
        <f>IF($F34+$M34&lt;&gt;0,IF('CHUNG TU'!B25&lt;&gt;"",'CHUNG TU'!B25,IF('CHUNG TU'!C25&lt;&gt;"",'CHUNG TU'!C25,'CHUNG TU'!D25)),"")</f>
      </c>
      <c r="D34" s="192">
        <f>IF($F34+$M34&lt;&gt;0,'CHUNG TU'!F25,"")</f>
      </c>
      <c r="E34" s="192">
        <f>IF($F34+$M34&lt;&gt;0,'CHUNG TU'!H25,"")</f>
      </c>
      <c r="F34" s="192">
        <f>IF(LEFT('CHUNG TU'!I25,3)='CPSXKD 622'!$H$7,'CHUNG TU'!$L25,0)</f>
        <v>0</v>
      </c>
      <c r="G34" s="192">
        <f>IF(AND($F34&lt;&gt;0,LEFT('CHUNG TU'!$J25,LEN('CPSXKD 622'!G$10))='CPSXKD 622'!G$10),'CPSXKD 622'!$F34,0)</f>
        <v>0</v>
      </c>
      <c r="H34" s="192">
        <f>IF(AND($F34&lt;&gt;0,LEFT('CHUNG TU'!$J25,LEN('CPSXKD 622'!H$10))='CPSXKD 622'!H$10),'CPSXKD 622'!$F34,0)</f>
        <v>0</v>
      </c>
      <c r="I34" s="192">
        <f>IF(AND($F34&lt;&gt;0,LEFT('CHUNG TU'!$J25,LEN('CPSXKD 622'!I$10))='CPSXKD 622'!I$10),'CPSXKD 622'!$F34,0)</f>
        <v>0</v>
      </c>
      <c r="J34" s="192">
        <f>IF(AND($F34&lt;&gt;0,LEFT('CHUNG TU'!$J25,LEN('CPSXKD 622'!J$10))='CPSXKD 622'!J$10),'CPSXKD 622'!$F34,0)</f>
        <v>0</v>
      </c>
      <c r="K34" s="192">
        <f t="shared" si="1"/>
        <v>0</v>
      </c>
      <c r="L34" s="201">
        <f>IF(F34&lt;&gt;0,'CHUNG TU'!J25,"")</f>
      </c>
      <c r="M34" s="192">
        <f>IF(LEFT('CHUNG TU'!J25,3)='CPSXKD 622'!$H$7,'CHUNG TU'!$L25,0)</f>
        <v>0</v>
      </c>
      <c r="N34" s="192">
        <f>IF(M34&lt;&gt;0,'CHUNG TU'!I25,"")</f>
      </c>
    </row>
    <row r="35" spans="2:14" ht="12.75">
      <c r="B35" s="192">
        <f>IF($F35+$M35&lt;&gt;0,'CHUNG TU'!A26,"")</f>
      </c>
      <c r="C35" s="192">
        <f>IF($F35+$M35&lt;&gt;0,IF('CHUNG TU'!B26&lt;&gt;"",'CHUNG TU'!B26,IF('CHUNG TU'!C26&lt;&gt;"",'CHUNG TU'!C26,'CHUNG TU'!D26)),"")</f>
      </c>
      <c r="D35" s="192">
        <f>IF($F35+$M35&lt;&gt;0,'CHUNG TU'!F26,"")</f>
      </c>
      <c r="E35" s="192">
        <f>IF($F35+$M35&lt;&gt;0,'CHUNG TU'!H26,"")</f>
      </c>
      <c r="F35" s="192">
        <f>IF(LEFT('CHUNG TU'!I26,3)='CPSXKD 622'!$H$7,'CHUNG TU'!$L26,0)</f>
        <v>0</v>
      </c>
      <c r="G35" s="192">
        <f>IF(AND($F35&lt;&gt;0,LEFT('CHUNG TU'!$J26,LEN('CPSXKD 622'!G$10))='CPSXKD 622'!G$10),'CPSXKD 622'!$F35,0)</f>
        <v>0</v>
      </c>
      <c r="H35" s="192">
        <f>IF(AND($F35&lt;&gt;0,LEFT('CHUNG TU'!$J26,LEN('CPSXKD 622'!H$10))='CPSXKD 622'!H$10),'CPSXKD 622'!$F35,0)</f>
        <v>0</v>
      </c>
      <c r="I35" s="192">
        <f>IF(AND($F35&lt;&gt;0,LEFT('CHUNG TU'!$J26,LEN('CPSXKD 622'!I$10))='CPSXKD 622'!I$10),'CPSXKD 622'!$F35,0)</f>
        <v>0</v>
      </c>
      <c r="J35" s="192">
        <f>IF(AND($F35&lt;&gt;0,LEFT('CHUNG TU'!$J26,LEN('CPSXKD 622'!J$10))='CPSXKD 622'!J$10),'CPSXKD 622'!$F35,0)</f>
        <v>0</v>
      </c>
      <c r="K35" s="192">
        <f t="shared" si="1"/>
        <v>0</v>
      </c>
      <c r="L35" s="201">
        <f>IF(F35&lt;&gt;0,'CHUNG TU'!J26,"")</f>
      </c>
      <c r="M35" s="192">
        <f>IF(LEFT('CHUNG TU'!J26,3)='CPSXKD 622'!$H$7,'CHUNG TU'!$L26,0)</f>
        <v>0</v>
      </c>
      <c r="N35" s="192">
        <f>IF(M35&lt;&gt;0,'CHUNG TU'!I26,"")</f>
      </c>
    </row>
    <row r="36" spans="2:14" ht="12.75">
      <c r="B36" s="192">
        <f>IF($F36+$M36&lt;&gt;0,'CHUNG TU'!A27,"")</f>
      </c>
      <c r="C36" s="192">
        <f>IF($F36+$M36&lt;&gt;0,IF('CHUNG TU'!B27&lt;&gt;"",'CHUNG TU'!B27,IF('CHUNG TU'!C27&lt;&gt;"",'CHUNG TU'!C27,'CHUNG TU'!D27)),"")</f>
      </c>
      <c r="D36" s="192">
        <f>IF($F36+$M36&lt;&gt;0,'CHUNG TU'!F27,"")</f>
      </c>
      <c r="E36" s="192">
        <f>IF($F36+$M36&lt;&gt;0,'CHUNG TU'!H27,"")</f>
      </c>
      <c r="F36" s="192">
        <f>IF(LEFT('CHUNG TU'!I27,3)='CPSXKD 622'!$H$7,'CHUNG TU'!$L27,0)</f>
        <v>0</v>
      </c>
      <c r="G36" s="192">
        <f>IF(AND($F36&lt;&gt;0,LEFT('CHUNG TU'!$J27,LEN('CPSXKD 622'!G$10))='CPSXKD 622'!G$10),'CPSXKD 622'!$F36,0)</f>
        <v>0</v>
      </c>
      <c r="H36" s="192">
        <f>IF(AND($F36&lt;&gt;0,LEFT('CHUNG TU'!$J27,LEN('CPSXKD 622'!H$10))='CPSXKD 622'!H$10),'CPSXKD 622'!$F36,0)</f>
        <v>0</v>
      </c>
      <c r="I36" s="192">
        <f>IF(AND($F36&lt;&gt;0,LEFT('CHUNG TU'!$J27,LEN('CPSXKD 622'!I$10))='CPSXKD 622'!I$10),'CPSXKD 622'!$F36,0)</f>
        <v>0</v>
      </c>
      <c r="J36" s="192">
        <f>IF(AND($F36&lt;&gt;0,LEFT('CHUNG TU'!$J27,LEN('CPSXKD 622'!J$10))='CPSXKD 622'!J$10),'CPSXKD 622'!$F36,0)</f>
        <v>0</v>
      </c>
      <c r="K36" s="192">
        <f t="shared" si="1"/>
        <v>0</v>
      </c>
      <c r="L36" s="201">
        <f>IF(F36&lt;&gt;0,'CHUNG TU'!J27,"")</f>
      </c>
      <c r="M36" s="192">
        <f>IF(LEFT('CHUNG TU'!J27,3)='CPSXKD 622'!$H$7,'CHUNG TU'!$L27,0)</f>
        <v>0</v>
      </c>
      <c r="N36" s="192">
        <f>IF(M36&lt;&gt;0,'CHUNG TU'!I27,"")</f>
      </c>
    </row>
    <row r="37" spans="2:14" ht="12.75">
      <c r="B37" s="192">
        <f>IF($F37+$M37&lt;&gt;0,'CHUNG TU'!A28,"")</f>
      </c>
      <c r="C37" s="192">
        <f>IF($F37+$M37&lt;&gt;0,IF('CHUNG TU'!B28&lt;&gt;"",'CHUNG TU'!B28,IF('CHUNG TU'!C28&lt;&gt;"",'CHUNG TU'!C28,'CHUNG TU'!D28)),"")</f>
      </c>
      <c r="D37" s="192">
        <f>IF($F37+$M37&lt;&gt;0,'CHUNG TU'!F28,"")</f>
      </c>
      <c r="E37" s="192">
        <f>IF($F37+$M37&lt;&gt;0,'CHUNG TU'!H28,"")</f>
      </c>
      <c r="F37" s="192">
        <f>IF(LEFT('CHUNG TU'!I28,3)='CPSXKD 622'!$H$7,'CHUNG TU'!$L28,0)</f>
        <v>0</v>
      </c>
      <c r="G37" s="192">
        <f>IF(AND($F37&lt;&gt;0,LEFT('CHUNG TU'!$J28,LEN('CPSXKD 622'!G$10))='CPSXKD 622'!G$10),'CPSXKD 622'!$F37,0)</f>
        <v>0</v>
      </c>
      <c r="H37" s="192">
        <f>IF(AND($F37&lt;&gt;0,LEFT('CHUNG TU'!$J28,LEN('CPSXKD 622'!H$10))='CPSXKD 622'!H$10),'CPSXKD 622'!$F37,0)</f>
        <v>0</v>
      </c>
      <c r="I37" s="192">
        <f>IF(AND($F37&lt;&gt;0,LEFT('CHUNG TU'!$J28,LEN('CPSXKD 622'!I$10))='CPSXKD 622'!I$10),'CPSXKD 622'!$F37,0)</f>
        <v>0</v>
      </c>
      <c r="J37" s="192">
        <f>IF(AND($F37&lt;&gt;0,LEFT('CHUNG TU'!$J28,LEN('CPSXKD 622'!J$10))='CPSXKD 622'!J$10),'CPSXKD 622'!$F37,0)</f>
        <v>0</v>
      </c>
      <c r="K37" s="192">
        <f t="shared" si="1"/>
        <v>0</v>
      </c>
      <c r="L37" s="201">
        <f>IF(F37&lt;&gt;0,'CHUNG TU'!J28,"")</f>
      </c>
      <c r="M37" s="192">
        <f>IF(LEFT('CHUNG TU'!J28,3)='CPSXKD 622'!$H$7,'CHUNG TU'!$L28,0)</f>
        <v>0</v>
      </c>
      <c r="N37" s="192">
        <f>IF(M37&lt;&gt;0,'CHUNG TU'!I28,"")</f>
      </c>
    </row>
    <row r="38" spans="2:14" ht="12.75">
      <c r="B38" s="192">
        <f>IF($F38+$M38&lt;&gt;0,'CHUNG TU'!A29,"")</f>
      </c>
      <c r="C38" s="192">
        <f>IF($F38+$M38&lt;&gt;0,IF('CHUNG TU'!B29&lt;&gt;"",'CHUNG TU'!B29,IF('CHUNG TU'!C29&lt;&gt;"",'CHUNG TU'!C29,'CHUNG TU'!D29)),"")</f>
      </c>
      <c r="D38" s="192">
        <f>IF($F38+$M38&lt;&gt;0,'CHUNG TU'!F29,"")</f>
      </c>
      <c r="E38" s="192">
        <f>IF($F38+$M38&lt;&gt;0,'CHUNG TU'!H29,"")</f>
      </c>
      <c r="F38" s="192">
        <f>IF(LEFT('CHUNG TU'!I29,3)='CPSXKD 622'!$H$7,'CHUNG TU'!$L29,0)</f>
        <v>0</v>
      </c>
      <c r="G38" s="192">
        <f>IF(AND($F38&lt;&gt;0,LEFT('CHUNG TU'!$J29,LEN('CPSXKD 622'!G$10))='CPSXKD 622'!G$10),'CPSXKD 622'!$F38,0)</f>
        <v>0</v>
      </c>
      <c r="H38" s="192">
        <f>IF(AND($F38&lt;&gt;0,LEFT('CHUNG TU'!$J29,LEN('CPSXKD 622'!H$10))='CPSXKD 622'!H$10),'CPSXKD 622'!$F38,0)</f>
        <v>0</v>
      </c>
      <c r="I38" s="192">
        <f>IF(AND($F38&lt;&gt;0,LEFT('CHUNG TU'!$J29,LEN('CPSXKD 622'!I$10))='CPSXKD 622'!I$10),'CPSXKD 622'!$F38,0)</f>
        <v>0</v>
      </c>
      <c r="J38" s="192">
        <f>IF(AND($F38&lt;&gt;0,LEFT('CHUNG TU'!$J29,LEN('CPSXKD 622'!J$10))='CPSXKD 622'!J$10),'CPSXKD 622'!$F38,0)</f>
        <v>0</v>
      </c>
      <c r="K38" s="192">
        <f t="shared" si="1"/>
        <v>0</v>
      </c>
      <c r="L38" s="201">
        <f>IF(F38&lt;&gt;0,'CHUNG TU'!J29,"")</f>
      </c>
      <c r="M38" s="192">
        <f>IF(LEFT('CHUNG TU'!J29,3)='CPSXKD 622'!$H$7,'CHUNG TU'!$L29,0)</f>
        <v>0</v>
      </c>
      <c r="N38" s="192">
        <f>IF(M38&lt;&gt;0,'CHUNG TU'!I29,"")</f>
      </c>
    </row>
    <row r="39" spans="2:14" ht="12.75">
      <c r="B39" s="192">
        <f>IF($F39+$M39&lt;&gt;0,'CHUNG TU'!A30,"")</f>
      </c>
      <c r="C39" s="192">
        <f>IF($F39+$M39&lt;&gt;0,IF('CHUNG TU'!B30&lt;&gt;"",'CHUNG TU'!B30,IF('CHUNG TU'!C30&lt;&gt;"",'CHUNG TU'!C30,'CHUNG TU'!D30)),"")</f>
      </c>
      <c r="D39" s="192">
        <f>IF($F39+$M39&lt;&gt;0,'CHUNG TU'!F30,"")</f>
      </c>
      <c r="E39" s="192">
        <f>IF($F39+$M39&lt;&gt;0,'CHUNG TU'!H30,"")</f>
      </c>
      <c r="F39" s="192">
        <f>IF(LEFT('CHUNG TU'!I30,3)='CPSXKD 622'!$H$7,'CHUNG TU'!$L30,0)</f>
        <v>0</v>
      </c>
      <c r="G39" s="192">
        <f>IF(AND($F39&lt;&gt;0,LEFT('CHUNG TU'!$J30,LEN('CPSXKD 622'!G$10))='CPSXKD 622'!G$10),'CPSXKD 622'!$F39,0)</f>
        <v>0</v>
      </c>
      <c r="H39" s="192">
        <f>IF(AND($F39&lt;&gt;0,LEFT('CHUNG TU'!$J30,LEN('CPSXKD 622'!H$10))='CPSXKD 622'!H$10),'CPSXKD 622'!$F39,0)</f>
        <v>0</v>
      </c>
      <c r="I39" s="192">
        <f>IF(AND($F39&lt;&gt;0,LEFT('CHUNG TU'!$J30,LEN('CPSXKD 622'!I$10))='CPSXKD 622'!I$10),'CPSXKD 622'!$F39,0)</f>
        <v>0</v>
      </c>
      <c r="J39" s="192">
        <f>IF(AND($F39&lt;&gt;0,LEFT('CHUNG TU'!$J30,LEN('CPSXKD 622'!J$10))='CPSXKD 622'!J$10),'CPSXKD 622'!$F39,0)</f>
        <v>0</v>
      </c>
      <c r="K39" s="192">
        <f t="shared" si="1"/>
        <v>0</v>
      </c>
      <c r="L39" s="201">
        <f>IF(F39&lt;&gt;0,'CHUNG TU'!J30,"")</f>
      </c>
      <c r="M39" s="192">
        <f>IF(LEFT('CHUNG TU'!J30,3)='CPSXKD 622'!$H$7,'CHUNG TU'!$L30,0)</f>
        <v>0</v>
      </c>
      <c r="N39" s="192">
        <f>IF(M39&lt;&gt;0,'CHUNG TU'!I30,"")</f>
      </c>
    </row>
    <row r="40" spans="2:14" ht="12.75">
      <c r="B40" s="192">
        <f>IF($F40+$M40&lt;&gt;0,'CHUNG TU'!A31,"")</f>
      </c>
      <c r="C40" s="192">
        <f>IF($F40+$M40&lt;&gt;0,IF('CHUNG TU'!B31&lt;&gt;"",'CHUNG TU'!B31,IF('CHUNG TU'!C31&lt;&gt;"",'CHUNG TU'!C31,'CHUNG TU'!D31)),"")</f>
      </c>
      <c r="D40" s="192">
        <f>IF($F40+$M40&lt;&gt;0,'CHUNG TU'!F31,"")</f>
      </c>
      <c r="E40" s="192">
        <f>IF($F40+$M40&lt;&gt;0,'CHUNG TU'!H31,"")</f>
      </c>
      <c r="F40" s="192">
        <f>IF(LEFT('CHUNG TU'!I31,3)='CPSXKD 622'!$H$7,'CHUNG TU'!$L31,0)</f>
        <v>0</v>
      </c>
      <c r="G40" s="192">
        <f>IF(AND($F40&lt;&gt;0,LEFT('CHUNG TU'!$J31,LEN('CPSXKD 622'!G$10))='CPSXKD 622'!G$10),'CPSXKD 622'!$F40,0)</f>
        <v>0</v>
      </c>
      <c r="H40" s="192">
        <f>IF(AND($F40&lt;&gt;0,LEFT('CHUNG TU'!$J31,LEN('CPSXKD 622'!H$10))='CPSXKD 622'!H$10),'CPSXKD 622'!$F40,0)</f>
        <v>0</v>
      </c>
      <c r="I40" s="192">
        <f>IF(AND($F40&lt;&gt;0,LEFT('CHUNG TU'!$J31,LEN('CPSXKD 622'!I$10))='CPSXKD 622'!I$10),'CPSXKD 622'!$F40,0)</f>
        <v>0</v>
      </c>
      <c r="J40" s="192">
        <f>IF(AND($F40&lt;&gt;0,LEFT('CHUNG TU'!$J31,LEN('CPSXKD 622'!J$10))='CPSXKD 622'!J$10),'CPSXKD 622'!$F40,0)</f>
        <v>0</v>
      </c>
      <c r="K40" s="192">
        <f t="shared" si="1"/>
        <v>0</v>
      </c>
      <c r="L40" s="201">
        <f>IF(F40&lt;&gt;0,'CHUNG TU'!J31,"")</f>
      </c>
      <c r="M40" s="192">
        <f>IF(LEFT('CHUNG TU'!J31,3)='CPSXKD 622'!$H$7,'CHUNG TU'!$L31,0)</f>
        <v>0</v>
      </c>
      <c r="N40" s="192">
        <f>IF(M40&lt;&gt;0,'CHUNG TU'!I31,"")</f>
      </c>
    </row>
    <row r="41" spans="2:14" ht="12.75">
      <c r="B41" s="192">
        <f>IF($F41+$M41&lt;&gt;0,'CHUNG TU'!A32,"")</f>
      </c>
      <c r="C41" s="192">
        <f>IF($F41+$M41&lt;&gt;0,IF('CHUNG TU'!B32&lt;&gt;"",'CHUNG TU'!B32,IF('CHUNG TU'!C32&lt;&gt;"",'CHUNG TU'!C32,'CHUNG TU'!D32)),"")</f>
      </c>
      <c r="D41" s="192">
        <f>IF($F41+$M41&lt;&gt;0,'CHUNG TU'!F32,"")</f>
      </c>
      <c r="E41" s="192">
        <f>IF($F41+$M41&lt;&gt;0,'CHUNG TU'!H32,"")</f>
      </c>
      <c r="F41" s="192">
        <f>IF(LEFT('CHUNG TU'!I32,3)='CPSXKD 622'!$H$7,'CHUNG TU'!$L32,0)</f>
        <v>0</v>
      </c>
      <c r="G41" s="192">
        <f>IF(AND($F41&lt;&gt;0,LEFT('CHUNG TU'!$J32,LEN('CPSXKD 622'!G$10))='CPSXKD 622'!G$10),'CPSXKD 622'!$F41,0)</f>
        <v>0</v>
      </c>
      <c r="H41" s="192">
        <f>IF(AND($F41&lt;&gt;0,LEFT('CHUNG TU'!$J32,LEN('CPSXKD 622'!H$10))='CPSXKD 622'!H$10),'CPSXKD 622'!$F41,0)</f>
        <v>0</v>
      </c>
      <c r="I41" s="192">
        <f>IF(AND($F41&lt;&gt;0,LEFT('CHUNG TU'!$J32,LEN('CPSXKD 622'!I$10))='CPSXKD 622'!I$10),'CPSXKD 622'!$F41,0)</f>
        <v>0</v>
      </c>
      <c r="J41" s="192">
        <f>IF(AND($F41&lt;&gt;0,LEFT('CHUNG TU'!$J32,LEN('CPSXKD 622'!J$10))='CPSXKD 622'!J$10),'CPSXKD 622'!$F41,0)</f>
        <v>0</v>
      </c>
      <c r="K41" s="192">
        <f t="shared" si="1"/>
        <v>0</v>
      </c>
      <c r="L41" s="201">
        <f>IF(F41&lt;&gt;0,'CHUNG TU'!J32,"")</f>
      </c>
      <c r="M41" s="192">
        <f>IF(LEFT('CHUNG TU'!J32,3)='CPSXKD 622'!$H$7,'CHUNG TU'!$L32,0)</f>
        <v>0</v>
      </c>
      <c r="N41" s="192">
        <f>IF(M41&lt;&gt;0,'CHUNG TU'!I32,"")</f>
      </c>
    </row>
    <row r="42" spans="2:14" ht="12.75">
      <c r="B42" s="192">
        <f>IF($F42+$M42&lt;&gt;0,'CHUNG TU'!A33,"")</f>
      </c>
      <c r="C42" s="192">
        <f>IF($F42+$M42&lt;&gt;0,IF('CHUNG TU'!B33&lt;&gt;"",'CHUNG TU'!B33,IF('CHUNG TU'!C33&lt;&gt;"",'CHUNG TU'!C33,'CHUNG TU'!D33)),"")</f>
      </c>
      <c r="D42" s="192">
        <f>IF($F42+$M42&lt;&gt;0,'CHUNG TU'!F33,"")</f>
      </c>
      <c r="E42" s="192">
        <f>IF($F42+$M42&lt;&gt;0,'CHUNG TU'!H33,"")</f>
      </c>
      <c r="F42" s="192">
        <f>IF(LEFT('CHUNG TU'!I33,3)='CPSXKD 622'!$H$7,'CHUNG TU'!$L33,0)</f>
        <v>0</v>
      </c>
      <c r="G42" s="192">
        <f>IF(AND($F42&lt;&gt;0,LEFT('CHUNG TU'!$J33,LEN('CPSXKD 622'!G$10))='CPSXKD 622'!G$10),'CPSXKD 622'!$F42,0)</f>
        <v>0</v>
      </c>
      <c r="H42" s="192">
        <f>IF(AND($F42&lt;&gt;0,LEFT('CHUNG TU'!$J33,LEN('CPSXKD 622'!H$10))='CPSXKD 622'!H$10),'CPSXKD 622'!$F42,0)</f>
        <v>0</v>
      </c>
      <c r="I42" s="192">
        <f>IF(AND($F42&lt;&gt;0,LEFT('CHUNG TU'!$J33,LEN('CPSXKD 622'!I$10))='CPSXKD 622'!I$10),'CPSXKD 622'!$F42,0)</f>
        <v>0</v>
      </c>
      <c r="J42" s="192">
        <f>IF(AND($F42&lt;&gt;0,LEFT('CHUNG TU'!$J33,LEN('CPSXKD 622'!J$10))='CPSXKD 622'!J$10),'CPSXKD 622'!$F42,0)</f>
        <v>0</v>
      </c>
      <c r="K42" s="192">
        <f t="shared" si="1"/>
        <v>0</v>
      </c>
      <c r="L42" s="201">
        <f>IF(F42&lt;&gt;0,'CHUNG TU'!J33,"")</f>
      </c>
      <c r="M42" s="192">
        <f>IF(LEFT('CHUNG TU'!J33,3)='CPSXKD 622'!$H$7,'CHUNG TU'!$L33,0)</f>
        <v>0</v>
      </c>
      <c r="N42" s="192">
        <f>IF(M42&lt;&gt;0,'CHUNG TU'!I33,"")</f>
      </c>
    </row>
    <row r="43" spans="2:14" ht="12.75">
      <c r="B43" s="192">
        <f>IF($F43+$M43&lt;&gt;0,'CHUNG TU'!A34,"")</f>
      </c>
      <c r="C43" s="192">
        <f>IF($F43+$M43&lt;&gt;0,IF('CHUNG TU'!B34&lt;&gt;"",'CHUNG TU'!B34,IF('CHUNG TU'!C34&lt;&gt;"",'CHUNG TU'!C34,'CHUNG TU'!D34)),"")</f>
      </c>
      <c r="D43" s="192">
        <f>IF($F43+$M43&lt;&gt;0,'CHUNG TU'!F34,"")</f>
      </c>
      <c r="E43" s="192">
        <f>IF($F43+$M43&lt;&gt;0,'CHUNG TU'!H34,"")</f>
      </c>
      <c r="F43" s="192">
        <f>IF(LEFT('CHUNG TU'!I34,3)='CPSXKD 622'!$H$7,'CHUNG TU'!$L34,0)</f>
        <v>0</v>
      </c>
      <c r="G43" s="192">
        <f>IF(AND($F43&lt;&gt;0,LEFT('CHUNG TU'!$J34,LEN('CPSXKD 622'!G$10))='CPSXKD 622'!G$10),'CPSXKD 622'!$F43,0)</f>
        <v>0</v>
      </c>
      <c r="H43" s="192">
        <f>IF(AND($F43&lt;&gt;0,LEFT('CHUNG TU'!$J34,LEN('CPSXKD 622'!H$10))='CPSXKD 622'!H$10),'CPSXKD 622'!$F43,0)</f>
        <v>0</v>
      </c>
      <c r="I43" s="192">
        <f>IF(AND($F43&lt;&gt;0,LEFT('CHUNG TU'!$J34,LEN('CPSXKD 622'!I$10))='CPSXKD 622'!I$10),'CPSXKD 622'!$F43,0)</f>
        <v>0</v>
      </c>
      <c r="J43" s="192">
        <f>IF(AND($F43&lt;&gt;0,LEFT('CHUNG TU'!$J34,LEN('CPSXKD 622'!J$10))='CPSXKD 622'!J$10),'CPSXKD 622'!$F43,0)</f>
        <v>0</v>
      </c>
      <c r="K43" s="192">
        <f t="shared" si="1"/>
        <v>0</v>
      </c>
      <c r="L43" s="201">
        <f>IF(F43&lt;&gt;0,'CHUNG TU'!J34,"")</f>
      </c>
      <c r="M43" s="192">
        <f>IF(LEFT('CHUNG TU'!J34,3)='CPSXKD 622'!$H$7,'CHUNG TU'!$L34,0)</f>
        <v>0</v>
      </c>
      <c r="N43" s="192">
        <f>IF(M43&lt;&gt;0,'CHUNG TU'!I34,"")</f>
      </c>
    </row>
    <row r="44" spans="2:14" ht="12.75">
      <c r="B44" s="192">
        <f>IF($F44+$M44&lt;&gt;0,'CHUNG TU'!A35,"")</f>
      </c>
      <c r="C44" s="192">
        <f>IF($F44+$M44&lt;&gt;0,IF('CHUNG TU'!B35&lt;&gt;"",'CHUNG TU'!B35,IF('CHUNG TU'!C35&lt;&gt;"",'CHUNG TU'!C35,'CHUNG TU'!D35)),"")</f>
      </c>
      <c r="D44" s="192">
        <f>IF($F44+$M44&lt;&gt;0,'CHUNG TU'!F35,"")</f>
      </c>
      <c r="E44" s="192">
        <f>IF($F44+$M44&lt;&gt;0,'CHUNG TU'!H35,"")</f>
      </c>
      <c r="F44" s="192">
        <f>IF(LEFT('CHUNG TU'!I35,3)='CPSXKD 622'!$H$7,'CHUNG TU'!$L35,0)</f>
        <v>0</v>
      </c>
      <c r="G44" s="192">
        <f>IF(AND($F44&lt;&gt;0,LEFT('CHUNG TU'!$J35,LEN('CPSXKD 622'!G$10))='CPSXKD 622'!G$10),'CPSXKD 622'!$F44,0)</f>
        <v>0</v>
      </c>
      <c r="H44" s="192">
        <f>IF(AND($F44&lt;&gt;0,LEFT('CHUNG TU'!$J35,LEN('CPSXKD 622'!H$10))='CPSXKD 622'!H$10),'CPSXKD 622'!$F44,0)</f>
        <v>0</v>
      </c>
      <c r="I44" s="192">
        <f>IF(AND($F44&lt;&gt;0,LEFT('CHUNG TU'!$J35,LEN('CPSXKD 622'!I$10))='CPSXKD 622'!I$10),'CPSXKD 622'!$F44,0)</f>
        <v>0</v>
      </c>
      <c r="J44" s="192">
        <f>IF(AND($F44&lt;&gt;0,LEFT('CHUNG TU'!$J35,LEN('CPSXKD 622'!J$10))='CPSXKD 622'!J$10),'CPSXKD 622'!$F44,0)</f>
        <v>0</v>
      </c>
      <c r="K44" s="192">
        <f t="shared" si="1"/>
        <v>0</v>
      </c>
      <c r="L44" s="201">
        <f>IF(F44&lt;&gt;0,'CHUNG TU'!J35,"")</f>
      </c>
      <c r="M44" s="192">
        <f>IF(LEFT('CHUNG TU'!J35,3)='CPSXKD 622'!$H$7,'CHUNG TU'!$L35,0)</f>
        <v>0</v>
      </c>
      <c r="N44" s="192">
        <f>IF(M44&lt;&gt;0,'CHUNG TU'!I35,"")</f>
      </c>
    </row>
    <row r="45" spans="2:14" ht="12.75">
      <c r="B45" s="192">
        <f>IF($F45+$M45&lt;&gt;0,'CHUNG TU'!A36,"")</f>
      </c>
      <c r="C45" s="192">
        <f>IF($F45+$M45&lt;&gt;0,IF('CHUNG TU'!B36&lt;&gt;"",'CHUNG TU'!B36,IF('CHUNG TU'!C36&lt;&gt;"",'CHUNG TU'!C36,'CHUNG TU'!D36)),"")</f>
      </c>
      <c r="D45" s="192">
        <f>IF($F45+$M45&lt;&gt;0,'CHUNG TU'!F36,"")</f>
      </c>
      <c r="E45" s="192">
        <f>IF($F45+$M45&lt;&gt;0,'CHUNG TU'!H36,"")</f>
      </c>
      <c r="F45" s="192">
        <f>IF(LEFT('CHUNG TU'!I36,3)='CPSXKD 622'!$H$7,'CHUNG TU'!$L36,0)</f>
        <v>0</v>
      </c>
      <c r="G45" s="192">
        <f>IF(AND($F45&lt;&gt;0,LEFT('CHUNG TU'!$J36,LEN('CPSXKD 622'!G$10))='CPSXKD 622'!G$10),'CPSXKD 622'!$F45,0)</f>
        <v>0</v>
      </c>
      <c r="H45" s="192">
        <f>IF(AND($F45&lt;&gt;0,LEFT('CHUNG TU'!$J36,LEN('CPSXKD 622'!H$10))='CPSXKD 622'!H$10),'CPSXKD 622'!$F45,0)</f>
        <v>0</v>
      </c>
      <c r="I45" s="192">
        <f>IF(AND($F45&lt;&gt;0,LEFT('CHUNG TU'!$J36,LEN('CPSXKD 622'!I$10))='CPSXKD 622'!I$10),'CPSXKD 622'!$F45,0)</f>
        <v>0</v>
      </c>
      <c r="J45" s="192">
        <f>IF(AND($F45&lt;&gt;0,LEFT('CHUNG TU'!$J36,LEN('CPSXKD 622'!J$10))='CPSXKD 622'!J$10),'CPSXKD 622'!$F45,0)</f>
        <v>0</v>
      </c>
      <c r="K45" s="192">
        <f t="shared" si="1"/>
        <v>0</v>
      </c>
      <c r="L45" s="201">
        <f>IF(F45&lt;&gt;0,'CHUNG TU'!J36,"")</f>
      </c>
      <c r="M45" s="192">
        <f>IF(LEFT('CHUNG TU'!J36,3)='CPSXKD 622'!$H$7,'CHUNG TU'!$L36,0)</f>
        <v>0</v>
      </c>
      <c r="N45" s="192">
        <f>IF(M45&lt;&gt;0,'CHUNG TU'!I36,"")</f>
      </c>
    </row>
    <row r="46" spans="2:14" ht="12.75">
      <c r="B46" s="192">
        <f>IF($F46+$M46&lt;&gt;0,'CHUNG TU'!A37,"")</f>
      </c>
      <c r="C46" s="192">
        <f>IF($F46+$M46&lt;&gt;0,IF('CHUNG TU'!B37&lt;&gt;"",'CHUNG TU'!B37,IF('CHUNG TU'!C37&lt;&gt;"",'CHUNG TU'!C37,'CHUNG TU'!D37)),"")</f>
      </c>
      <c r="D46" s="192">
        <f>IF($F46+$M46&lt;&gt;0,'CHUNG TU'!F37,"")</f>
      </c>
      <c r="E46" s="192">
        <f>IF($F46+$M46&lt;&gt;0,'CHUNG TU'!H37,"")</f>
      </c>
      <c r="F46" s="192">
        <f>IF(LEFT('CHUNG TU'!I37,3)='CPSXKD 622'!$H$7,'CHUNG TU'!$L37,0)</f>
        <v>0</v>
      </c>
      <c r="G46" s="192">
        <f>IF(AND($F46&lt;&gt;0,LEFT('CHUNG TU'!$J37,LEN('CPSXKD 622'!G$10))='CPSXKD 622'!G$10),'CPSXKD 622'!$F46,0)</f>
        <v>0</v>
      </c>
      <c r="H46" s="192">
        <f>IF(AND($F46&lt;&gt;0,LEFT('CHUNG TU'!$J37,LEN('CPSXKD 622'!H$10))='CPSXKD 622'!H$10),'CPSXKD 622'!$F46,0)</f>
        <v>0</v>
      </c>
      <c r="I46" s="192">
        <f>IF(AND($F46&lt;&gt;0,LEFT('CHUNG TU'!$J37,LEN('CPSXKD 622'!I$10))='CPSXKD 622'!I$10),'CPSXKD 622'!$F46,0)</f>
        <v>0</v>
      </c>
      <c r="J46" s="192">
        <f>IF(AND($F46&lt;&gt;0,LEFT('CHUNG TU'!$J37,LEN('CPSXKD 622'!J$10))='CPSXKD 622'!J$10),'CPSXKD 622'!$F46,0)</f>
        <v>0</v>
      </c>
      <c r="K46" s="192">
        <f t="shared" si="1"/>
        <v>0</v>
      </c>
      <c r="L46" s="201">
        <f>IF(F46&lt;&gt;0,'CHUNG TU'!J37,"")</f>
      </c>
      <c r="M46" s="192">
        <f>IF(LEFT('CHUNG TU'!J37,3)='CPSXKD 622'!$H$7,'CHUNG TU'!$L37,0)</f>
        <v>0</v>
      </c>
      <c r="N46" s="192">
        <f>IF(M46&lt;&gt;0,'CHUNG TU'!I37,"")</f>
      </c>
    </row>
    <row r="47" spans="2:14" ht="12.75">
      <c r="B47" s="192">
        <f>IF($F47+$M47&lt;&gt;0,'CHUNG TU'!A38,"")</f>
      </c>
      <c r="C47" s="192">
        <f>IF($F47+$M47&lt;&gt;0,IF('CHUNG TU'!B38&lt;&gt;"",'CHUNG TU'!B38,IF('CHUNG TU'!C38&lt;&gt;"",'CHUNG TU'!C38,'CHUNG TU'!D38)),"")</f>
      </c>
      <c r="D47" s="192">
        <f>IF($F47+$M47&lt;&gt;0,'CHUNG TU'!F38,"")</f>
      </c>
      <c r="E47" s="192">
        <f>IF($F47+$M47&lt;&gt;0,'CHUNG TU'!H38,"")</f>
      </c>
      <c r="F47" s="192">
        <f>IF(LEFT('CHUNG TU'!I38,3)='CPSXKD 622'!$H$7,'CHUNG TU'!$L38,0)</f>
        <v>0</v>
      </c>
      <c r="G47" s="192">
        <f>IF(AND($F47&lt;&gt;0,LEFT('CHUNG TU'!$J38,LEN('CPSXKD 622'!G$10))='CPSXKD 622'!G$10),'CPSXKD 622'!$F47,0)</f>
        <v>0</v>
      </c>
      <c r="H47" s="192">
        <f>IF(AND($F47&lt;&gt;0,LEFT('CHUNG TU'!$J38,LEN('CPSXKD 622'!H$10))='CPSXKD 622'!H$10),'CPSXKD 622'!$F47,0)</f>
        <v>0</v>
      </c>
      <c r="I47" s="192">
        <f>IF(AND($F47&lt;&gt;0,LEFT('CHUNG TU'!$J38,LEN('CPSXKD 622'!I$10))='CPSXKD 622'!I$10),'CPSXKD 622'!$F47,0)</f>
        <v>0</v>
      </c>
      <c r="J47" s="192">
        <f>IF(AND($F47&lt;&gt;0,LEFT('CHUNG TU'!$J38,LEN('CPSXKD 622'!J$10))='CPSXKD 622'!J$10),'CPSXKD 622'!$F47,0)</f>
        <v>0</v>
      </c>
      <c r="K47" s="192">
        <f t="shared" si="1"/>
        <v>0</v>
      </c>
      <c r="L47" s="201">
        <f>IF(F47&lt;&gt;0,'CHUNG TU'!J38,"")</f>
      </c>
      <c r="M47" s="192">
        <f>IF(LEFT('CHUNG TU'!J38,3)='CPSXKD 622'!$H$7,'CHUNG TU'!$L38,0)</f>
        <v>0</v>
      </c>
      <c r="N47" s="192">
        <f>IF(M47&lt;&gt;0,'CHUNG TU'!I38,"")</f>
      </c>
    </row>
    <row r="48" spans="2:14" ht="12.75">
      <c r="B48" s="192">
        <f>IF($F48+$M48&lt;&gt;0,'CHUNG TU'!A39,"")</f>
      </c>
      <c r="C48" s="192">
        <f>IF($F48+$M48&lt;&gt;0,IF('CHUNG TU'!B39&lt;&gt;"",'CHUNG TU'!B39,IF('CHUNG TU'!C39&lt;&gt;"",'CHUNG TU'!C39,'CHUNG TU'!D39)),"")</f>
      </c>
      <c r="D48" s="192">
        <f>IF($F48+$M48&lt;&gt;0,'CHUNG TU'!F39,"")</f>
      </c>
      <c r="E48" s="192">
        <f>IF($F48+$M48&lt;&gt;0,'CHUNG TU'!H39,"")</f>
      </c>
      <c r="F48" s="192">
        <f>IF(LEFT('CHUNG TU'!I39,3)='CPSXKD 622'!$H$7,'CHUNG TU'!$L39,0)</f>
        <v>0</v>
      </c>
      <c r="G48" s="192">
        <f>IF(AND($F48&lt;&gt;0,LEFT('CHUNG TU'!$J39,LEN('CPSXKD 622'!G$10))='CPSXKD 622'!G$10),'CPSXKD 622'!$F48,0)</f>
        <v>0</v>
      </c>
      <c r="H48" s="192">
        <f>IF(AND($F48&lt;&gt;0,LEFT('CHUNG TU'!$J39,LEN('CPSXKD 622'!H$10))='CPSXKD 622'!H$10),'CPSXKD 622'!$F48,0)</f>
        <v>0</v>
      </c>
      <c r="I48" s="192">
        <f>IF(AND($F48&lt;&gt;0,LEFT('CHUNG TU'!$J39,LEN('CPSXKD 622'!I$10))='CPSXKD 622'!I$10),'CPSXKD 622'!$F48,0)</f>
        <v>0</v>
      </c>
      <c r="J48" s="192">
        <f>IF(AND($F48&lt;&gt;0,LEFT('CHUNG TU'!$J39,LEN('CPSXKD 622'!J$10))='CPSXKD 622'!J$10),'CPSXKD 622'!$F48,0)</f>
        <v>0</v>
      </c>
      <c r="K48" s="192">
        <f t="shared" si="1"/>
        <v>0</v>
      </c>
      <c r="L48" s="201">
        <f>IF(F48&lt;&gt;0,'CHUNG TU'!J39,"")</f>
      </c>
      <c r="M48" s="192">
        <f>IF(LEFT('CHUNG TU'!J39,3)='CPSXKD 622'!$H$7,'CHUNG TU'!$L39,0)</f>
        <v>0</v>
      </c>
      <c r="N48" s="192">
        <f>IF(M48&lt;&gt;0,'CHUNG TU'!I39,"")</f>
      </c>
    </row>
    <row r="49" spans="2:14" ht="12.75">
      <c r="B49" s="192">
        <f>IF($F49+$M49&lt;&gt;0,'CHUNG TU'!A40,"")</f>
      </c>
      <c r="C49" s="192">
        <f>IF($F49+$M49&lt;&gt;0,IF('CHUNG TU'!B40&lt;&gt;"",'CHUNG TU'!B40,IF('CHUNG TU'!C40&lt;&gt;"",'CHUNG TU'!C40,'CHUNG TU'!D40)),"")</f>
      </c>
      <c r="D49" s="192">
        <f>IF($F49+$M49&lt;&gt;0,'CHUNG TU'!F40,"")</f>
      </c>
      <c r="E49" s="192">
        <f>IF($F49+$M49&lt;&gt;0,'CHUNG TU'!H40,"")</f>
      </c>
      <c r="F49" s="192">
        <f>IF(LEFT('CHUNG TU'!I40,3)='CPSXKD 622'!$H$7,'CHUNG TU'!$L40,0)</f>
        <v>0</v>
      </c>
      <c r="G49" s="192">
        <f>IF(AND($F49&lt;&gt;0,LEFT('CHUNG TU'!$J40,LEN('CPSXKD 622'!G$10))='CPSXKD 622'!G$10),'CPSXKD 622'!$F49,0)</f>
        <v>0</v>
      </c>
      <c r="H49" s="192">
        <f>IF(AND($F49&lt;&gt;0,LEFT('CHUNG TU'!$J40,LEN('CPSXKD 622'!H$10))='CPSXKD 622'!H$10),'CPSXKD 622'!$F49,0)</f>
        <v>0</v>
      </c>
      <c r="I49" s="192">
        <f>IF(AND($F49&lt;&gt;0,LEFT('CHUNG TU'!$J40,LEN('CPSXKD 622'!I$10))='CPSXKD 622'!I$10),'CPSXKD 622'!$F49,0)</f>
        <v>0</v>
      </c>
      <c r="J49" s="192">
        <f>IF(AND($F49&lt;&gt;0,LEFT('CHUNG TU'!$J40,LEN('CPSXKD 622'!J$10))='CPSXKD 622'!J$10),'CPSXKD 622'!$F49,0)</f>
        <v>0</v>
      </c>
      <c r="K49" s="192">
        <f t="shared" si="1"/>
        <v>0</v>
      </c>
      <c r="L49" s="201">
        <f>IF(F49&lt;&gt;0,'CHUNG TU'!J40,"")</f>
      </c>
      <c r="M49" s="192">
        <f>IF(LEFT('CHUNG TU'!J40,3)='CPSXKD 622'!$H$7,'CHUNG TU'!$L40,0)</f>
        <v>0</v>
      </c>
      <c r="N49" s="192">
        <f>IF(M49&lt;&gt;0,'CHUNG TU'!I40,"")</f>
      </c>
    </row>
    <row r="50" spans="2:14" ht="12.75">
      <c r="B50" s="192">
        <f>IF($F50+$M50&lt;&gt;0,'CHUNG TU'!A41,"")</f>
      </c>
      <c r="C50" s="192">
        <f>IF($F50+$M50&lt;&gt;0,IF('CHUNG TU'!B41&lt;&gt;"",'CHUNG TU'!B41,IF('CHUNG TU'!C41&lt;&gt;"",'CHUNG TU'!C41,'CHUNG TU'!D41)),"")</f>
      </c>
      <c r="D50" s="192">
        <f>IF($F50+$M50&lt;&gt;0,'CHUNG TU'!F41,"")</f>
      </c>
      <c r="E50" s="192">
        <f>IF($F50+$M50&lt;&gt;0,'CHUNG TU'!H41,"")</f>
      </c>
      <c r="F50" s="192">
        <f>IF(LEFT('CHUNG TU'!I41,3)='CPSXKD 622'!$H$7,'CHUNG TU'!$L41,0)</f>
        <v>0</v>
      </c>
      <c r="G50" s="192">
        <f>IF(AND($F50&lt;&gt;0,LEFT('CHUNG TU'!$J41,LEN('CPSXKD 622'!G$10))='CPSXKD 622'!G$10),'CPSXKD 622'!$F50,0)</f>
        <v>0</v>
      </c>
      <c r="H50" s="192">
        <f>IF(AND($F50&lt;&gt;0,LEFT('CHUNG TU'!$J41,LEN('CPSXKD 622'!H$10))='CPSXKD 622'!H$10),'CPSXKD 622'!$F50,0)</f>
        <v>0</v>
      </c>
      <c r="I50" s="192">
        <f>IF(AND($F50&lt;&gt;0,LEFT('CHUNG TU'!$J41,LEN('CPSXKD 622'!I$10))='CPSXKD 622'!I$10),'CPSXKD 622'!$F50,0)</f>
        <v>0</v>
      </c>
      <c r="J50" s="192">
        <f>IF(AND($F50&lt;&gt;0,LEFT('CHUNG TU'!$J41,LEN('CPSXKD 622'!J$10))='CPSXKD 622'!J$10),'CPSXKD 622'!$F50,0)</f>
        <v>0</v>
      </c>
      <c r="K50" s="192">
        <f t="shared" si="1"/>
        <v>0</v>
      </c>
      <c r="L50" s="201">
        <f>IF(F50&lt;&gt;0,'CHUNG TU'!J41,"")</f>
      </c>
      <c r="M50" s="192">
        <f>IF(LEFT('CHUNG TU'!J41,3)='CPSXKD 622'!$H$7,'CHUNG TU'!$L41,0)</f>
        <v>0</v>
      </c>
      <c r="N50" s="192">
        <f>IF(M50&lt;&gt;0,'CHUNG TU'!I41,"")</f>
      </c>
    </row>
    <row r="51" spans="2:14" ht="12.75">
      <c r="B51" s="192">
        <f>IF($F51+$M51&lt;&gt;0,'CHUNG TU'!A42,"")</f>
      </c>
      <c r="C51" s="192">
        <f>IF($F51+$M51&lt;&gt;0,IF('CHUNG TU'!B42&lt;&gt;"",'CHUNG TU'!B42,IF('CHUNG TU'!C42&lt;&gt;"",'CHUNG TU'!C42,'CHUNG TU'!D42)),"")</f>
      </c>
      <c r="D51" s="192">
        <f>IF($F51+$M51&lt;&gt;0,'CHUNG TU'!F42,"")</f>
      </c>
      <c r="E51" s="192">
        <f>IF($F51+$M51&lt;&gt;0,'CHUNG TU'!H42,"")</f>
      </c>
      <c r="F51" s="192">
        <f>IF(LEFT('CHUNG TU'!I42,3)='CPSXKD 622'!$H$7,'CHUNG TU'!$L42,0)</f>
        <v>0</v>
      </c>
      <c r="G51" s="192">
        <f>IF(AND($F51&lt;&gt;0,LEFT('CHUNG TU'!$J42,LEN('CPSXKD 622'!G$10))='CPSXKD 622'!G$10),'CPSXKD 622'!$F51,0)</f>
        <v>0</v>
      </c>
      <c r="H51" s="192">
        <f>IF(AND($F51&lt;&gt;0,LEFT('CHUNG TU'!$J42,LEN('CPSXKD 622'!H$10))='CPSXKD 622'!H$10),'CPSXKD 622'!$F51,0)</f>
        <v>0</v>
      </c>
      <c r="I51" s="192">
        <f>IF(AND($F51&lt;&gt;0,LEFT('CHUNG TU'!$J42,LEN('CPSXKD 622'!I$10))='CPSXKD 622'!I$10),'CPSXKD 622'!$F51,0)</f>
        <v>0</v>
      </c>
      <c r="J51" s="192">
        <f>IF(AND($F51&lt;&gt;0,LEFT('CHUNG TU'!$J42,LEN('CPSXKD 622'!J$10))='CPSXKD 622'!J$10),'CPSXKD 622'!$F51,0)</f>
        <v>0</v>
      </c>
      <c r="K51" s="192">
        <f t="shared" si="1"/>
        <v>0</v>
      </c>
      <c r="L51" s="201">
        <f>IF(F51&lt;&gt;0,'CHUNG TU'!J42,"")</f>
      </c>
      <c r="M51" s="192">
        <f>IF(LEFT('CHUNG TU'!J42,3)='CPSXKD 622'!$H$7,'CHUNG TU'!$L42,0)</f>
        <v>0</v>
      </c>
      <c r="N51" s="192">
        <f>IF(M51&lt;&gt;0,'CHUNG TU'!I42,"")</f>
      </c>
    </row>
    <row r="52" spans="2:14" ht="12.75">
      <c r="B52" s="192">
        <f>IF($F52+$M52&lt;&gt;0,'CHUNG TU'!A43,"")</f>
      </c>
      <c r="C52" s="192">
        <f>IF($F52+$M52&lt;&gt;0,IF('CHUNG TU'!B43&lt;&gt;"",'CHUNG TU'!B43,IF('CHUNG TU'!C43&lt;&gt;"",'CHUNG TU'!C43,'CHUNG TU'!D43)),"")</f>
      </c>
      <c r="D52" s="192">
        <f>IF($F52+$M52&lt;&gt;0,'CHUNG TU'!F43,"")</f>
      </c>
      <c r="E52" s="192">
        <f>IF($F52+$M52&lt;&gt;0,'CHUNG TU'!H43,"")</f>
      </c>
      <c r="F52" s="192">
        <f>IF(LEFT('CHUNG TU'!I43,3)='CPSXKD 622'!$H$7,'CHUNG TU'!$L43,0)</f>
        <v>0</v>
      </c>
      <c r="G52" s="192">
        <f>IF(AND($F52&lt;&gt;0,LEFT('CHUNG TU'!$J43,LEN('CPSXKD 622'!G$10))='CPSXKD 622'!G$10),'CPSXKD 622'!$F52,0)</f>
        <v>0</v>
      </c>
      <c r="H52" s="192">
        <f>IF(AND($F52&lt;&gt;0,LEFT('CHUNG TU'!$J43,LEN('CPSXKD 622'!H$10))='CPSXKD 622'!H$10),'CPSXKD 622'!$F52,0)</f>
        <v>0</v>
      </c>
      <c r="I52" s="192">
        <f>IF(AND($F52&lt;&gt;0,LEFT('CHUNG TU'!$J43,LEN('CPSXKD 622'!I$10))='CPSXKD 622'!I$10),'CPSXKD 622'!$F52,0)</f>
        <v>0</v>
      </c>
      <c r="J52" s="192">
        <f>IF(AND($F52&lt;&gt;0,LEFT('CHUNG TU'!$J43,LEN('CPSXKD 622'!J$10))='CPSXKD 622'!J$10),'CPSXKD 622'!$F52,0)</f>
        <v>0</v>
      </c>
      <c r="K52" s="192">
        <f t="shared" si="1"/>
        <v>0</v>
      </c>
      <c r="L52" s="201">
        <f>IF(F52&lt;&gt;0,'CHUNG TU'!J43,"")</f>
      </c>
      <c r="M52" s="192">
        <f>IF(LEFT('CHUNG TU'!J43,3)='CPSXKD 622'!$H$7,'CHUNG TU'!$L43,0)</f>
        <v>0</v>
      </c>
      <c r="N52" s="192">
        <f>IF(M52&lt;&gt;0,'CHUNG TU'!I43,"")</f>
      </c>
    </row>
    <row r="53" spans="2:14" ht="12.75">
      <c r="B53" s="192">
        <f>IF($F53+$M53&lt;&gt;0,'CHUNG TU'!A44,"")</f>
      </c>
      <c r="C53" s="192">
        <f>IF($F53+$M53&lt;&gt;0,IF('CHUNG TU'!B44&lt;&gt;"",'CHUNG TU'!B44,IF('CHUNG TU'!C44&lt;&gt;"",'CHUNG TU'!C44,'CHUNG TU'!D44)),"")</f>
      </c>
      <c r="D53" s="192">
        <f>IF($F53+$M53&lt;&gt;0,'CHUNG TU'!F44,"")</f>
      </c>
      <c r="E53" s="192">
        <f>IF($F53+$M53&lt;&gt;0,'CHUNG TU'!H44,"")</f>
      </c>
      <c r="F53" s="192">
        <f>IF(LEFT('CHUNG TU'!I44,3)='CPSXKD 622'!$H$7,'CHUNG TU'!$L44,0)</f>
        <v>0</v>
      </c>
      <c r="G53" s="192">
        <f>IF(AND($F53&lt;&gt;0,LEFT('CHUNG TU'!$J44,LEN('CPSXKD 622'!G$10))='CPSXKD 622'!G$10),'CPSXKD 622'!$F53,0)</f>
        <v>0</v>
      </c>
      <c r="H53" s="192">
        <f>IF(AND($F53&lt;&gt;0,LEFT('CHUNG TU'!$J44,LEN('CPSXKD 622'!H$10))='CPSXKD 622'!H$10),'CPSXKD 622'!$F53,0)</f>
        <v>0</v>
      </c>
      <c r="I53" s="192">
        <f>IF(AND($F53&lt;&gt;0,LEFT('CHUNG TU'!$J44,LEN('CPSXKD 622'!I$10))='CPSXKD 622'!I$10),'CPSXKD 622'!$F53,0)</f>
        <v>0</v>
      </c>
      <c r="J53" s="192">
        <f>IF(AND($F53&lt;&gt;0,LEFT('CHUNG TU'!$J44,LEN('CPSXKD 622'!J$10))='CPSXKD 622'!J$10),'CPSXKD 622'!$F53,0)</f>
        <v>0</v>
      </c>
      <c r="K53" s="192">
        <f t="shared" si="1"/>
        <v>0</v>
      </c>
      <c r="L53" s="201">
        <f>IF(F53&lt;&gt;0,'CHUNG TU'!J44,"")</f>
      </c>
      <c r="M53" s="192">
        <f>IF(LEFT('CHUNG TU'!J44,3)='CPSXKD 622'!$H$7,'CHUNG TU'!$L44,0)</f>
        <v>0</v>
      </c>
      <c r="N53" s="192">
        <f>IF(M53&lt;&gt;0,'CHUNG TU'!I44,"")</f>
      </c>
    </row>
    <row r="54" spans="2:14" ht="12.75">
      <c r="B54" s="192">
        <f>IF($F54+$M54&lt;&gt;0,'CHUNG TU'!A45,"")</f>
      </c>
      <c r="C54" s="192">
        <f>IF($F54+$M54&lt;&gt;0,IF('CHUNG TU'!B45&lt;&gt;"",'CHUNG TU'!B45,IF('CHUNG TU'!C45&lt;&gt;"",'CHUNG TU'!C45,'CHUNG TU'!D45)),"")</f>
      </c>
      <c r="D54" s="192">
        <f>IF($F54+$M54&lt;&gt;0,'CHUNG TU'!F45,"")</f>
      </c>
      <c r="E54" s="192">
        <f>IF($F54+$M54&lt;&gt;0,'CHUNG TU'!H45,"")</f>
      </c>
      <c r="F54" s="192">
        <f>IF(LEFT('CHUNG TU'!I45,3)='CPSXKD 622'!$H$7,'CHUNG TU'!$L45,0)</f>
        <v>0</v>
      </c>
      <c r="G54" s="192">
        <f>IF(AND($F54&lt;&gt;0,LEFT('CHUNG TU'!$J45,LEN('CPSXKD 622'!G$10))='CPSXKD 622'!G$10),'CPSXKD 622'!$F54,0)</f>
        <v>0</v>
      </c>
      <c r="H54" s="192">
        <f>IF(AND($F54&lt;&gt;0,LEFT('CHUNG TU'!$J45,LEN('CPSXKD 622'!H$10))='CPSXKD 622'!H$10),'CPSXKD 622'!$F54,0)</f>
        <v>0</v>
      </c>
      <c r="I54" s="192">
        <f>IF(AND($F54&lt;&gt;0,LEFT('CHUNG TU'!$J45,LEN('CPSXKD 622'!I$10))='CPSXKD 622'!I$10),'CPSXKD 622'!$F54,0)</f>
        <v>0</v>
      </c>
      <c r="J54" s="192">
        <f>IF(AND($F54&lt;&gt;0,LEFT('CHUNG TU'!$J45,LEN('CPSXKD 622'!J$10))='CPSXKD 622'!J$10),'CPSXKD 622'!$F54,0)</f>
        <v>0</v>
      </c>
      <c r="K54" s="192">
        <f t="shared" si="1"/>
        <v>0</v>
      </c>
      <c r="L54" s="201">
        <f>IF(F54&lt;&gt;0,'CHUNG TU'!J45,"")</f>
      </c>
      <c r="M54" s="192">
        <f>IF(LEFT('CHUNG TU'!J45,3)='CPSXKD 622'!$H$7,'CHUNG TU'!$L45,0)</f>
        <v>0</v>
      </c>
      <c r="N54" s="192">
        <f>IF(M54&lt;&gt;0,'CHUNG TU'!I45,"")</f>
      </c>
    </row>
    <row r="55" spans="2:14" ht="12.75">
      <c r="B55" s="192">
        <f>IF($F55+$M55&lt;&gt;0,'CHUNG TU'!A46,"")</f>
      </c>
      <c r="C55" s="192">
        <f>IF($F55+$M55&lt;&gt;0,IF('CHUNG TU'!B46&lt;&gt;"",'CHUNG TU'!B46,IF('CHUNG TU'!C46&lt;&gt;"",'CHUNG TU'!C46,'CHUNG TU'!D46)),"")</f>
      </c>
      <c r="D55" s="192">
        <f>IF($F55+$M55&lt;&gt;0,'CHUNG TU'!F46,"")</f>
      </c>
      <c r="E55" s="192">
        <f>IF($F55+$M55&lt;&gt;0,'CHUNG TU'!H46,"")</f>
      </c>
      <c r="F55" s="192">
        <f>IF(LEFT('CHUNG TU'!I46,3)='CPSXKD 622'!$H$7,'CHUNG TU'!$L46,0)</f>
        <v>0</v>
      </c>
      <c r="G55" s="192">
        <f>IF(AND($F55&lt;&gt;0,LEFT('CHUNG TU'!$J46,LEN('CPSXKD 622'!G$10))='CPSXKD 622'!G$10),'CPSXKD 622'!$F55,0)</f>
        <v>0</v>
      </c>
      <c r="H55" s="192">
        <f>IF(AND($F55&lt;&gt;0,LEFT('CHUNG TU'!$J46,LEN('CPSXKD 622'!H$10))='CPSXKD 622'!H$10),'CPSXKD 622'!$F55,0)</f>
        <v>0</v>
      </c>
      <c r="I55" s="192">
        <f>IF(AND($F55&lt;&gt;0,LEFT('CHUNG TU'!$J46,LEN('CPSXKD 622'!I$10))='CPSXKD 622'!I$10),'CPSXKD 622'!$F55,0)</f>
        <v>0</v>
      </c>
      <c r="J55" s="192">
        <f>IF(AND($F55&lt;&gt;0,LEFT('CHUNG TU'!$J46,LEN('CPSXKD 622'!J$10))='CPSXKD 622'!J$10),'CPSXKD 622'!$F55,0)</f>
        <v>0</v>
      </c>
      <c r="K55" s="192">
        <f t="shared" si="1"/>
        <v>0</v>
      </c>
      <c r="L55" s="201">
        <f>IF(F55&lt;&gt;0,'CHUNG TU'!J46,"")</f>
      </c>
      <c r="M55" s="192">
        <f>IF(LEFT('CHUNG TU'!J46,3)='CPSXKD 622'!$H$7,'CHUNG TU'!$L46,0)</f>
        <v>0</v>
      </c>
      <c r="N55" s="192">
        <f>IF(M55&lt;&gt;0,'CHUNG TU'!I46,"")</f>
      </c>
    </row>
    <row r="56" spans="2:14" ht="12.75">
      <c r="B56" s="192">
        <f>IF($F56+$M56&lt;&gt;0,'CHUNG TU'!A47,"")</f>
      </c>
      <c r="C56" s="192">
        <f>IF($F56+$M56&lt;&gt;0,IF('CHUNG TU'!B47&lt;&gt;"",'CHUNG TU'!B47,IF('CHUNG TU'!C47&lt;&gt;"",'CHUNG TU'!C47,'CHUNG TU'!D47)),"")</f>
      </c>
      <c r="D56" s="192">
        <f>IF($F56+$M56&lt;&gt;0,'CHUNG TU'!F47,"")</f>
      </c>
      <c r="E56" s="192">
        <f>IF($F56+$M56&lt;&gt;0,'CHUNG TU'!H47,"")</f>
      </c>
      <c r="F56" s="192">
        <f>IF(LEFT('CHUNG TU'!I47,3)='CPSXKD 622'!$H$7,'CHUNG TU'!$L47,0)</f>
        <v>0</v>
      </c>
      <c r="G56" s="192">
        <f>IF(AND($F56&lt;&gt;0,LEFT('CHUNG TU'!$J47,LEN('CPSXKD 622'!G$10))='CPSXKD 622'!G$10),'CPSXKD 622'!$F56,0)</f>
        <v>0</v>
      </c>
      <c r="H56" s="192">
        <f>IF(AND($F56&lt;&gt;0,LEFT('CHUNG TU'!$J47,LEN('CPSXKD 622'!H$10))='CPSXKD 622'!H$10),'CPSXKD 622'!$F56,0)</f>
        <v>0</v>
      </c>
      <c r="I56" s="192">
        <f>IF(AND($F56&lt;&gt;0,LEFT('CHUNG TU'!$J47,LEN('CPSXKD 622'!I$10))='CPSXKD 622'!I$10),'CPSXKD 622'!$F56,0)</f>
        <v>0</v>
      </c>
      <c r="J56" s="192">
        <f>IF(AND($F56&lt;&gt;0,LEFT('CHUNG TU'!$J47,LEN('CPSXKD 622'!J$10))='CPSXKD 622'!J$10),'CPSXKD 622'!$F56,0)</f>
        <v>0</v>
      </c>
      <c r="K56" s="192">
        <f t="shared" si="1"/>
        <v>0</v>
      </c>
      <c r="L56" s="201">
        <f>IF(F56&lt;&gt;0,'CHUNG TU'!J47,"")</f>
      </c>
      <c r="M56" s="192">
        <f>IF(LEFT('CHUNG TU'!J47,3)='CPSXKD 622'!$H$7,'CHUNG TU'!$L47,0)</f>
        <v>0</v>
      </c>
      <c r="N56" s="192">
        <f>IF(M56&lt;&gt;0,'CHUNG TU'!I47,"")</f>
      </c>
    </row>
    <row r="57" spans="2:14" ht="12.75">
      <c r="B57" s="192">
        <f>IF($F57+$M57&lt;&gt;0,'CHUNG TU'!A48,"")</f>
      </c>
      <c r="C57" s="192">
        <f>IF($F57+$M57&lt;&gt;0,IF('CHUNG TU'!B48&lt;&gt;"",'CHUNG TU'!B48,IF('CHUNG TU'!C48&lt;&gt;"",'CHUNG TU'!C48,'CHUNG TU'!D48)),"")</f>
      </c>
      <c r="D57" s="192">
        <f>IF($F57+$M57&lt;&gt;0,'CHUNG TU'!F48,"")</f>
      </c>
      <c r="E57" s="192">
        <f>IF($F57+$M57&lt;&gt;0,'CHUNG TU'!H48,"")</f>
      </c>
      <c r="F57" s="192">
        <f>IF(LEFT('CHUNG TU'!I48,3)='CPSXKD 622'!$H$7,'CHUNG TU'!$L48,0)</f>
        <v>0</v>
      </c>
      <c r="G57" s="192">
        <f>IF(AND($F57&lt;&gt;0,LEFT('CHUNG TU'!$J48,LEN('CPSXKD 622'!G$10))='CPSXKD 622'!G$10),'CPSXKD 622'!$F57,0)</f>
        <v>0</v>
      </c>
      <c r="H57" s="192">
        <f>IF(AND($F57&lt;&gt;0,LEFT('CHUNG TU'!$J48,LEN('CPSXKD 622'!H$10))='CPSXKD 622'!H$10),'CPSXKD 622'!$F57,0)</f>
        <v>0</v>
      </c>
      <c r="I57" s="192">
        <f>IF(AND($F57&lt;&gt;0,LEFT('CHUNG TU'!$J48,LEN('CPSXKD 622'!I$10))='CPSXKD 622'!I$10),'CPSXKD 622'!$F57,0)</f>
        <v>0</v>
      </c>
      <c r="J57" s="192">
        <f>IF(AND($F57&lt;&gt;0,LEFT('CHUNG TU'!$J48,LEN('CPSXKD 622'!J$10))='CPSXKD 622'!J$10),'CPSXKD 622'!$F57,0)</f>
        <v>0</v>
      </c>
      <c r="K57" s="192">
        <f t="shared" si="1"/>
        <v>0</v>
      </c>
      <c r="L57" s="201">
        <f>IF(F57&lt;&gt;0,'CHUNG TU'!J48,"")</f>
      </c>
      <c r="M57" s="192">
        <f>IF(LEFT('CHUNG TU'!J48,3)='CPSXKD 622'!$H$7,'CHUNG TU'!$L48,0)</f>
        <v>0</v>
      </c>
      <c r="N57" s="192">
        <f>IF(M57&lt;&gt;0,'CHUNG TU'!I48,"")</f>
      </c>
    </row>
    <row r="58" spans="2:14" ht="12.75">
      <c r="B58" s="192">
        <f>IF($F58+$M58&lt;&gt;0,'CHUNG TU'!A49,"")</f>
      </c>
      <c r="C58" s="192">
        <f>IF($F58+$M58&lt;&gt;0,IF('CHUNG TU'!B49&lt;&gt;"",'CHUNG TU'!B49,IF('CHUNG TU'!C49&lt;&gt;"",'CHUNG TU'!C49,'CHUNG TU'!D49)),"")</f>
      </c>
      <c r="D58" s="192">
        <f>IF($F58+$M58&lt;&gt;0,'CHUNG TU'!F49,"")</f>
      </c>
      <c r="E58" s="192">
        <f>IF($F58+$M58&lt;&gt;0,'CHUNG TU'!H49,"")</f>
      </c>
      <c r="F58" s="192">
        <f>IF(LEFT('CHUNG TU'!I49,3)='CPSXKD 622'!$H$7,'CHUNG TU'!$L49,0)</f>
        <v>0</v>
      </c>
      <c r="G58" s="192">
        <f>IF(AND($F58&lt;&gt;0,LEFT('CHUNG TU'!$J49,LEN('CPSXKD 622'!G$10))='CPSXKD 622'!G$10),'CPSXKD 622'!$F58,0)</f>
        <v>0</v>
      </c>
      <c r="H58" s="192">
        <f>IF(AND($F58&lt;&gt;0,LEFT('CHUNG TU'!$J49,LEN('CPSXKD 622'!H$10))='CPSXKD 622'!H$10),'CPSXKD 622'!$F58,0)</f>
        <v>0</v>
      </c>
      <c r="I58" s="192">
        <f>IF(AND($F58&lt;&gt;0,LEFT('CHUNG TU'!$J49,LEN('CPSXKD 622'!I$10))='CPSXKD 622'!I$10),'CPSXKD 622'!$F58,0)</f>
        <v>0</v>
      </c>
      <c r="J58" s="192">
        <f>IF(AND($F58&lt;&gt;0,LEFT('CHUNG TU'!$J49,LEN('CPSXKD 622'!J$10))='CPSXKD 622'!J$10),'CPSXKD 622'!$F58,0)</f>
        <v>0</v>
      </c>
      <c r="K58" s="192">
        <f t="shared" si="1"/>
        <v>0</v>
      </c>
      <c r="L58" s="201">
        <f>IF(F58&lt;&gt;0,'CHUNG TU'!J49,"")</f>
      </c>
      <c r="M58" s="192">
        <f>IF(LEFT('CHUNG TU'!J49,3)='CPSXKD 622'!$H$7,'CHUNG TU'!$L49,0)</f>
        <v>0</v>
      </c>
      <c r="N58" s="192">
        <f>IF(M58&lt;&gt;0,'CHUNG TU'!I49,"")</f>
      </c>
    </row>
    <row r="59" spans="2:14" ht="12.75">
      <c r="B59" s="192">
        <f>IF($F59+$M59&lt;&gt;0,'CHUNG TU'!A50,"")</f>
      </c>
      <c r="C59" s="192">
        <f>IF($F59+$M59&lt;&gt;0,IF('CHUNG TU'!B50&lt;&gt;"",'CHUNG TU'!B50,IF('CHUNG TU'!C50&lt;&gt;"",'CHUNG TU'!C50,'CHUNG TU'!D50)),"")</f>
      </c>
      <c r="D59" s="192">
        <f>IF($F59+$M59&lt;&gt;0,'CHUNG TU'!F50,"")</f>
      </c>
      <c r="E59" s="192">
        <f>IF($F59+$M59&lt;&gt;0,'CHUNG TU'!H50,"")</f>
      </c>
      <c r="F59" s="192">
        <f>IF(LEFT('CHUNG TU'!I50,3)='CPSXKD 622'!$H$7,'CHUNG TU'!$L50,0)</f>
        <v>0</v>
      </c>
      <c r="G59" s="192">
        <f>IF(AND($F59&lt;&gt;0,LEFT('CHUNG TU'!$J50,LEN('CPSXKD 622'!G$10))='CPSXKD 622'!G$10),'CPSXKD 622'!$F59,0)</f>
        <v>0</v>
      </c>
      <c r="H59" s="192">
        <f>IF(AND($F59&lt;&gt;0,LEFT('CHUNG TU'!$J50,LEN('CPSXKD 622'!H$10))='CPSXKD 622'!H$10),'CPSXKD 622'!$F59,0)</f>
        <v>0</v>
      </c>
      <c r="I59" s="192">
        <f>IF(AND($F59&lt;&gt;0,LEFT('CHUNG TU'!$J50,LEN('CPSXKD 622'!I$10))='CPSXKD 622'!I$10),'CPSXKD 622'!$F59,0)</f>
        <v>0</v>
      </c>
      <c r="J59" s="192">
        <f>IF(AND($F59&lt;&gt;0,LEFT('CHUNG TU'!$J50,LEN('CPSXKD 622'!J$10))='CPSXKD 622'!J$10),'CPSXKD 622'!$F59,0)</f>
        <v>0</v>
      </c>
      <c r="K59" s="192">
        <f t="shared" si="1"/>
        <v>0</v>
      </c>
      <c r="L59" s="201">
        <f>IF(F59&lt;&gt;0,'CHUNG TU'!J50,"")</f>
      </c>
      <c r="M59" s="192">
        <f>IF(LEFT('CHUNG TU'!J50,3)='CPSXKD 622'!$H$7,'CHUNG TU'!$L50,0)</f>
        <v>0</v>
      </c>
      <c r="N59" s="192">
        <f>IF(M59&lt;&gt;0,'CHUNG TU'!I50,"")</f>
      </c>
    </row>
    <row r="60" spans="2:14" ht="12.75">
      <c r="B60" s="192">
        <f>IF($F60+$M60&lt;&gt;0,'CHUNG TU'!A51,"")</f>
      </c>
      <c r="C60" s="192">
        <f>IF($F60+$M60&lt;&gt;0,IF('CHUNG TU'!B51&lt;&gt;"",'CHUNG TU'!B51,IF('CHUNG TU'!C51&lt;&gt;"",'CHUNG TU'!C51,'CHUNG TU'!D51)),"")</f>
      </c>
      <c r="D60" s="192">
        <f>IF($F60+$M60&lt;&gt;0,'CHUNG TU'!F51,"")</f>
      </c>
      <c r="E60" s="192">
        <f>IF($F60+$M60&lt;&gt;0,'CHUNG TU'!H51,"")</f>
      </c>
      <c r="F60" s="192">
        <f>IF(LEFT('CHUNG TU'!I51,3)='CPSXKD 622'!$H$7,'CHUNG TU'!$L51,0)</f>
        <v>0</v>
      </c>
      <c r="G60" s="192">
        <f>IF(AND($F60&lt;&gt;0,LEFT('CHUNG TU'!$J51,LEN('CPSXKD 622'!G$10))='CPSXKD 622'!G$10),'CPSXKD 622'!$F60,0)</f>
        <v>0</v>
      </c>
      <c r="H60" s="192">
        <f>IF(AND($F60&lt;&gt;0,LEFT('CHUNG TU'!$J51,LEN('CPSXKD 622'!H$10))='CPSXKD 622'!H$10),'CPSXKD 622'!$F60,0)</f>
        <v>0</v>
      </c>
      <c r="I60" s="192">
        <f>IF(AND($F60&lt;&gt;0,LEFT('CHUNG TU'!$J51,LEN('CPSXKD 622'!I$10))='CPSXKD 622'!I$10),'CPSXKD 622'!$F60,0)</f>
        <v>0</v>
      </c>
      <c r="J60" s="192">
        <f>IF(AND($F60&lt;&gt;0,LEFT('CHUNG TU'!$J51,LEN('CPSXKD 622'!J$10))='CPSXKD 622'!J$10),'CPSXKD 622'!$F60,0)</f>
        <v>0</v>
      </c>
      <c r="K60" s="192">
        <f t="shared" si="1"/>
        <v>0</v>
      </c>
      <c r="L60" s="201">
        <f>IF(F60&lt;&gt;0,'CHUNG TU'!J51,"")</f>
      </c>
      <c r="M60" s="192">
        <f>IF(LEFT('CHUNG TU'!J51,3)='CPSXKD 622'!$H$7,'CHUNG TU'!$L51,0)</f>
        <v>0</v>
      </c>
      <c r="N60" s="192">
        <f>IF(M60&lt;&gt;0,'CHUNG TU'!I51,"")</f>
      </c>
    </row>
    <row r="61" spans="2:14" ht="12.75">
      <c r="B61" s="192">
        <f>IF($F61+$M61&lt;&gt;0,'CHUNG TU'!A52,"")</f>
      </c>
      <c r="C61" s="192">
        <f>IF($F61+$M61&lt;&gt;0,IF('CHUNG TU'!B52&lt;&gt;"",'CHUNG TU'!B52,IF('CHUNG TU'!C52&lt;&gt;"",'CHUNG TU'!C52,'CHUNG TU'!D52)),"")</f>
      </c>
      <c r="D61" s="192">
        <f>IF($F61+$M61&lt;&gt;0,'CHUNG TU'!F52,"")</f>
      </c>
      <c r="E61" s="192">
        <f>IF($F61+$M61&lt;&gt;0,'CHUNG TU'!H52,"")</f>
      </c>
      <c r="F61" s="192">
        <f>IF(LEFT('CHUNG TU'!I52,3)='CPSXKD 622'!$H$7,'CHUNG TU'!$L52,0)</f>
        <v>0</v>
      </c>
      <c r="G61" s="192">
        <f>IF(AND($F61&lt;&gt;0,LEFT('CHUNG TU'!$J52,LEN('CPSXKD 622'!G$10))='CPSXKD 622'!G$10),'CPSXKD 622'!$F61,0)</f>
        <v>0</v>
      </c>
      <c r="H61" s="192">
        <f>IF(AND($F61&lt;&gt;0,LEFT('CHUNG TU'!$J52,LEN('CPSXKD 622'!H$10))='CPSXKD 622'!H$10),'CPSXKD 622'!$F61,0)</f>
        <v>0</v>
      </c>
      <c r="I61" s="192">
        <f>IF(AND($F61&lt;&gt;0,LEFT('CHUNG TU'!$J52,LEN('CPSXKD 622'!I$10))='CPSXKD 622'!I$10),'CPSXKD 622'!$F61,0)</f>
        <v>0</v>
      </c>
      <c r="J61" s="192">
        <f>IF(AND($F61&lt;&gt;0,LEFT('CHUNG TU'!$J52,LEN('CPSXKD 622'!J$10))='CPSXKD 622'!J$10),'CPSXKD 622'!$F61,0)</f>
        <v>0</v>
      </c>
      <c r="K61" s="192">
        <f t="shared" si="1"/>
        <v>0</v>
      </c>
      <c r="L61" s="201">
        <f>IF(F61&lt;&gt;0,'CHUNG TU'!J52,"")</f>
      </c>
      <c r="M61" s="192">
        <f>IF(LEFT('CHUNG TU'!J52,3)='CPSXKD 622'!$H$7,'CHUNG TU'!$L52,0)</f>
        <v>0</v>
      </c>
      <c r="N61" s="192">
        <f>IF(M61&lt;&gt;0,'CHUNG TU'!I52,"")</f>
      </c>
    </row>
    <row r="62" spans="2:14" ht="12.75">
      <c r="B62" s="192">
        <f>IF($F62+$M62&lt;&gt;0,'CHUNG TU'!A53,"")</f>
      </c>
      <c r="C62" s="192">
        <f>IF($F62+$M62&lt;&gt;0,IF('CHUNG TU'!B53&lt;&gt;"",'CHUNG TU'!B53,IF('CHUNG TU'!C53&lt;&gt;"",'CHUNG TU'!C53,'CHUNG TU'!D53)),"")</f>
      </c>
      <c r="D62" s="192">
        <f>IF($F62+$M62&lt;&gt;0,'CHUNG TU'!F53,"")</f>
      </c>
      <c r="E62" s="192">
        <f>IF($F62+$M62&lt;&gt;0,'CHUNG TU'!H53,"")</f>
      </c>
      <c r="F62" s="192">
        <f>IF(LEFT('CHUNG TU'!I53,3)='CPSXKD 622'!$H$7,'CHUNG TU'!$L53,0)</f>
        <v>0</v>
      </c>
      <c r="G62" s="192">
        <f>IF(AND($F62&lt;&gt;0,LEFT('CHUNG TU'!$J53,LEN('CPSXKD 622'!G$10))='CPSXKD 622'!G$10),'CPSXKD 622'!$F62,0)</f>
        <v>0</v>
      </c>
      <c r="H62" s="192">
        <f>IF(AND($F62&lt;&gt;0,LEFT('CHUNG TU'!$J53,LEN('CPSXKD 622'!H$10))='CPSXKD 622'!H$10),'CPSXKD 622'!$F62,0)</f>
        <v>0</v>
      </c>
      <c r="I62" s="192">
        <f>IF(AND($F62&lt;&gt;0,LEFT('CHUNG TU'!$J53,LEN('CPSXKD 622'!I$10))='CPSXKD 622'!I$10),'CPSXKD 622'!$F62,0)</f>
        <v>0</v>
      </c>
      <c r="J62" s="192">
        <f>IF(AND($F62&lt;&gt;0,LEFT('CHUNG TU'!$J53,LEN('CPSXKD 622'!J$10))='CPSXKD 622'!J$10),'CPSXKD 622'!$F62,0)</f>
        <v>0</v>
      </c>
      <c r="K62" s="192">
        <f t="shared" si="1"/>
        <v>0</v>
      </c>
      <c r="L62" s="201">
        <f>IF(F62&lt;&gt;0,'CHUNG TU'!J53,"")</f>
      </c>
      <c r="M62" s="192">
        <f>IF(LEFT('CHUNG TU'!J53,3)='CPSXKD 622'!$H$7,'CHUNG TU'!$L53,0)</f>
        <v>0</v>
      </c>
      <c r="N62" s="192">
        <f>IF(M62&lt;&gt;0,'CHUNG TU'!I53,"")</f>
      </c>
    </row>
    <row r="63" spans="2:14" ht="12.75">
      <c r="B63" s="192">
        <f>IF($F63+$M63&lt;&gt;0,'CHUNG TU'!A54,"")</f>
      </c>
      <c r="C63" s="192">
        <f>IF($F63+$M63&lt;&gt;0,IF('CHUNG TU'!B54&lt;&gt;"",'CHUNG TU'!B54,IF('CHUNG TU'!C54&lt;&gt;"",'CHUNG TU'!C54,'CHUNG TU'!D54)),"")</f>
      </c>
      <c r="D63" s="192">
        <f>IF($F63+$M63&lt;&gt;0,'CHUNG TU'!F54,"")</f>
      </c>
      <c r="E63" s="192">
        <f>IF($F63+$M63&lt;&gt;0,'CHUNG TU'!H54,"")</f>
      </c>
      <c r="F63" s="192">
        <f>IF(LEFT('CHUNG TU'!I54,3)='CPSXKD 622'!$H$7,'CHUNG TU'!$L54,0)</f>
        <v>0</v>
      </c>
      <c r="G63" s="192">
        <f>IF(AND($F63&lt;&gt;0,LEFT('CHUNG TU'!$J54,LEN('CPSXKD 622'!G$10))='CPSXKD 622'!G$10),'CPSXKD 622'!$F63,0)</f>
        <v>0</v>
      </c>
      <c r="H63" s="192">
        <f>IF(AND($F63&lt;&gt;0,LEFT('CHUNG TU'!$J54,LEN('CPSXKD 622'!H$10))='CPSXKD 622'!H$10),'CPSXKD 622'!$F63,0)</f>
        <v>0</v>
      </c>
      <c r="I63" s="192">
        <f>IF(AND($F63&lt;&gt;0,LEFT('CHUNG TU'!$J54,LEN('CPSXKD 622'!I$10))='CPSXKD 622'!I$10),'CPSXKD 622'!$F63,0)</f>
        <v>0</v>
      </c>
      <c r="J63" s="192">
        <f>IF(AND($F63&lt;&gt;0,LEFT('CHUNG TU'!$J54,LEN('CPSXKD 622'!J$10))='CPSXKD 622'!J$10),'CPSXKD 622'!$F63,0)</f>
        <v>0</v>
      </c>
      <c r="K63" s="192">
        <f t="shared" si="1"/>
        <v>0</v>
      </c>
      <c r="L63" s="201">
        <f>IF(F63&lt;&gt;0,'CHUNG TU'!J54,"")</f>
      </c>
      <c r="M63" s="192">
        <f>IF(LEFT('CHUNG TU'!J54,3)='CPSXKD 622'!$H$7,'CHUNG TU'!$L54,0)</f>
        <v>0</v>
      </c>
      <c r="N63" s="192">
        <f>IF(M63&lt;&gt;0,'CHUNG TU'!I54,"")</f>
      </c>
    </row>
    <row r="64" spans="2:14" ht="12.75">
      <c r="B64" s="192">
        <f>IF($F64+$M64&lt;&gt;0,'CHUNG TU'!A55,"")</f>
      </c>
      <c r="C64" s="192">
        <f>IF($F64+$M64&lt;&gt;0,IF('CHUNG TU'!B55&lt;&gt;"",'CHUNG TU'!B55,IF('CHUNG TU'!C55&lt;&gt;"",'CHUNG TU'!C55,'CHUNG TU'!D55)),"")</f>
      </c>
      <c r="D64" s="192">
        <f>IF($F64+$M64&lt;&gt;0,'CHUNG TU'!F55,"")</f>
      </c>
      <c r="E64" s="192">
        <f>IF($F64+$M64&lt;&gt;0,'CHUNG TU'!H55,"")</f>
      </c>
      <c r="F64" s="192">
        <f>IF(LEFT('CHUNG TU'!I55,3)='CPSXKD 622'!$H$7,'CHUNG TU'!$L55,0)</f>
        <v>0</v>
      </c>
      <c r="G64" s="192">
        <f>IF(AND($F64&lt;&gt;0,LEFT('CHUNG TU'!$J55,LEN('CPSXKD 622'!G$10))='CPSXKD 622'!G$10),'CPSXKD 622'!$F64,0)</f>
        <v>0</v>
      </c>
      <c r="H64" s="192">
        <f>IF(AND($F64&lt;&gt;0,LEFT('CHUNG TU'!$J55,LEN('CPSXKD 622'!H$10))='CPSXKD 622'!H$10),'CPSXKD 622'!$F64,0)</f>
        <v>0</v>
      </c>
      <c r="I64" s="192">
        <f>IF(AND($F64&lt;&gt;0,LEFT('CHUNG TU'!$J55,LEN('CPSXKD 622'!I$10))='CPSXKD 622'!I$10),'CPSXKD 622'!$F64,0)</f>
        <v>0</v>
      </c>
      <c r="J64" s="192">
        <f>IF(AND($F64&lt;&gt;0,LEFT('CHUNG TU'!$J55,LEN('CPSXKD 622'!J$10))='CPSXKD 622'!J$10),'CPSXKD 622'!$F64,0)</f>
        <v>0</v>
      </c>
      <c r="K64" s="192">
        <f t="shared" si="1"/>
        <v>0</v>
      </c>
      <c r="L64" s="201">
        <f>IF(F64&lt;&gt;0,'CHUNG TU'!J55,"")</f>
      </c>
      <c r="M64" s="192">
        <f>IF(LEFT('CHUNG TU'!J55,3)='CPSXKD 622'!$H$7,'CHUNG TU'!$L55,0)</f>
        <v>0</v>
      </c>
      <c r="N64" s="192">
        <f>IF(M64&lt;&gt;0,'CHUNG TU'!I55,"")</f>
      </c>
    </row>
    <row r="65" spans="2:14" ht="12.75">
      <c r="B65" s="192">
        <f>IF($F65+$M65&lt;&gt;0,'CHUNG TU'!A56,"")</f>
      </c>
      <c r="C65" s="192">
        <f>IF($F65+$M65&lt;&gt;0,IF('CHUNG TU'!B56&lt;&gt;"",'CHUNG TU'!B56,IF('CHUNG TU'!C56&lt;&gt;"",'CHUNG TU'!C56,'CHUNG TU'!D56)),"")</f>
      </c>
      <c r="D65" s="192">
        <f>IF($F65+$M65&lt;&gt;0,'CHUNG TU'!F56,"")</f>
      </c>
      <c r="E65" s="192">
        <f>IF($F65+$M65&lt;&gt;0,'CHUNG TU'!H56,"")</f>
      </c>
      <c r="F65" s="192">
        <f>IF(LEFT('CHUNG TU'!I56,3)='CPSXKD 622'!$H$7,'CHUNG TU'!$L56,0)</f>
        <v>0</v>
      </c>
      <c r="G65" s="192">
        <f>IF(AND($F65&lt;&gt;0,LEFT('CHUNG TU'!$J56,LEN('CPSXKD 622'!G$10))='CPSXKD 622'!G$10),'CPSXKD 622'!$F65,0)</f>
        <v>0</v>
      </c>
      <c r="H65" s="192">
        <f>IF(AND($F65&lt;&gt;0,LEFT('CHUNG TU'!$J56,LEN('CPSXKD 622'!H$10))='CPSXKD 622'!H$10),'CPSXKD 622'!$F65,0)</f>
        <v>0</v>
      </c>
      <c r="I65" s="192">
        <f>IF(AND($F65&lt;&gt;0,LEFT('CHUNG TU'!$J56,LEN('CPSXKD 622'!I$10))='CPSXKD 622'!I$10),'CPSXKD 622'!$F65,0)</f>
        <v>0</v>
      </c>
      <c r="J65" s="192">
        <f>IF(AND($F65&lt;&gt;0,LEFT('CHUNG TU'!$J56,LEN('CPSXKD 622'!J$10))='CPSXKD 622'!J$10),'CPSXKD 622'!$F65,0)</f>
        <v>0</v>
      </c>
      <c r="K65" s="192">
        <f t="shared" si="1"/>
        <v>0</v>
      </c>
      <c r="L65" s="201">
        <f>IF(F65&lt;&gt;0,'CHUNG TU'!J56,"")</f>
      </c>
      <c r="M65" s="192">
        <f>IF(LEFT('CHUNG TU'!J56,3)='CPSXKD 622'!$H$7,'CHUNG TU'!$L56,0)</f>
        <v>0</v>
      </c>
      <c r="N65" s="192">
        <f>IF(M65&lt;&gt;0,'CHUNG TU'!I56,"")</f>
      </c>
    </row>
    <row r="66" spans="2:14" ht="12.75">
      <c r="B66" s="192">
        <f>IF($F66+$M66&lt;&gt;0,'CHUNG TU'!A57,"")</f>
      </c>
      <c r="C66" s="192">
        <f>IF($F66+$M66&lt;&gt;0,IF('CHUNG TU'!B57&lt;&gt;"",'CHUNG TU'!B57,IF('CHUNG TU'!C57&lt;&gt;"",'CHUNG TU'!C57,'CHUNG TU'!D57)),"")</f>
      </c>
      <c r="D66" s="192">
        <f>IF($F66+$M66&lt;&gt;0,'CHUNG TU'!F57,"")</f>
      </c>
      <c r="E66" s="192">
        <f>IF($F66+$M66&lt;&gt;0,'CHUNG TU'!H57,"")</f>
      </c>
      <c r="F66" s="192">
        <f>IF(LEFT('CHUNG TU'!I57,3)='CPSXKD 622'!$H$7,'CHUNG TU'!$L57,0)</f>
        <v>0</v>
      </c>
      <c r="G66" s="192">
        <f>IF(AND($F66&lt;&gt;0,LEFT('CHUNG TU'!$J57,LEN('CPSXKD 622'!G$10))='CPSXKD 622'!G$10),'CPSXKD 622'!$F66,0)</f>
        <v>0</v>
      </c>
      <c r="H66" s="192">
        <f>IF(AND($F66&lt;&gt;0,LEFT('CHUNG TU'!$J57,LEN('CPSXKD 622'!H$10))='CPSXKD 622'!H$10),'CPSXKD 622'!$F66,0)</f>
        <v>0</v>
      </c>
      <c r="I66" s="192">
        <f>IF(AND($F66&lt;&gt;0,LEFT('CHUNG TU'!$J57,LEN('CPSXKD 622'!I$10))='CPSXKD 622'!I$10),'CPSXKD 622'!$F66,0)</f>
        <v>0</v>
      </c>
      <c r="J66" s="192">
        <f>IF(AND($F66&lt;&gt;0,LEFT('CHUNG TU'!$J57,LEN('CPSXKD 622'!J$10))='CPSXKD 622'!J$10),'CPSXKD 622'!$F66,0)</f>
        <v>0</v>
      </c>
      <c r="K66" s="192">
        <f t="shared" si="1"/>
        <v>0</v>
      </c>
      <c r="L66" s="201">
        <f>IF(F66&lt;&gt;0,'CHUNG TU'!J57,"")</f>
      </c>
      <c r="M66" s="192">
        <f>IF(LEFT('CHUNG TU'!J57,3)='CPSXKD 622'!$H$7,'CHUNG TU'!$L57,0)</f>
        <v>0</v>
      </c>
      <c r="N66" s="192">
        <f>IF(M66&lt;&gt;0,'CHUNG TU'!I57,"")</f>
      </c>
    </row>
    <row r="67" spans="2:14" ht="12.75">
      <c r="B67" s="192">
        <f>IF($F67+$M67&lt;&gt;0,'CHUNG TU'!A58,"")</f>
      </c>
      <c r="C67" s="192">
        <f>IF($F67+$M67&lt;&gt;0,IF('CHUNG TU'!B58&lt;&gt;"",'CHUNG TU'!B58,IF('CHUNG TU'!C58&lt;&gt;"",'CHUNG TU'!C58,'CHUNG TU'!D58)),"")</f>
      </c>
      <c r="D67" s="192">
        <f>IF($F67+$M67&lt;&gt;0,'CHUNG TU'!F58,"")</f>
      </c>
      <c r="E67" s="192">
        <f>IF($F67+$M67&lt;&gt;0,'CHUNG TU'!H58,"")</f>
      </c>
      <c r="F67" s="192">
        <f>IF(LEFT('CHUNG TU'!I58,3)='CPSXKD 622'!$H$7,'CHUNG TU'!$L58,0)</f>
        <v>0</v>
      </c>
      <c r="G67" s="192">
        <f>IF(AND($F67&lt;&gt;0,LEFT('CHUNG TU'!$J58,LEN('CPSXKD 622'!G$10))='CPSXKD 622'!G$10),'CPSXKD 622'!$F67,0)</f>
        <v>0</v>
      </c>
      <c r="H67" s="192">
        <f>IF(AND($F67&lt;&gt;0,LEFT('CHUNG TU'!$J58,LEN('CPSXKD 622'!H$10))='CPSXKD 622'!H$10),'CPSXKD 622'!$F67,0)</f>
        <v>0</v>
      </c>
      <c r="I67" s="192">
        <f>IF(AND($F67&lt;&gt;0,LEFT('CHUNG TU'!$J58,LEN('CPSXKD 622'!I$10))='CPSXKD 622'!I$10),'CPSXKD 622'!$F67,0)</f>
        <v>0</v>
      </c>
      <c r="J67" s="192">
        <f>IF(AND($F67&lt;&gt;0,LEFT('CHUNG TU'!$J58,LEN('CPSXKD 622'!J$10))='CPSXKD 622'!J$10),'CPSXKD 622'!$F67,0)</f>
        <v>0</v>
      </c>
      <c r="K67" s="192">
        <f t="shared" si="1"/>
        <v>0</v>
      </c>
      <c r="L67" s="201">
        <f>IF(F67&lt;&gt;0,'CHUNG TU'!J58,"")</f>
      </c>
      <c r="M67" s="192">
        <f>IF(LEFT('CHUNG TU'!J58,3)='CPSXKD 622'!$H$7,'CHUNG TU'!$L58,0)</f>
        <v>0</v>
      </c>
      <c r="N67" s="192">
        <f>IF(M67&lt;&gt;0,'CHUNG TU'!I58,"")</f>
      </c>
    </row>
    <row r="68" spans="2:14" ht="12.75">
      <c r="B68" s="192">
        <f>IF($F68+$M68&lt;&gt;0,'CHUNG TU'!A59,"")</f>
      </c>
      <c r="C68" s="192">
        <f>IF($F68+$M68&lt;&gt;0,IF('CHUNG TU'!B59&lt;&gt;"",'CHUNG TU'!B59,IF('CHUNG TU'!C59&lt;&gt;"",'CHUNG TU'!C59,'CHUNG TU'!D59)),"")</f>
      </c>
      <c r="D68" s="192">
        <f>IF($F68+$M68&lt;&gt;0,'CHUNG TU'!F59,"")</f>
      </c>
      <c r="E68" s="192">
        <f>IF($F68+$M68&lt;&gt;0,'CHUNG TU'!H59,"")</f>
      </c>
      <c r="F68" s="192">
        <f>IF(LEFT('CHUNG TU'!I59,3)='CPSXKD 622'!$H$7,'CHUNG TU'!$L59,0)</f>
        <v>0</v>
      </c>
      <c r="G68" s="192">
        <f>IF(AND($F68&lt;&gt;0,LEFT('CHUNG TU'!$J59,LEN('CPSXKD 622'!G$10))='CPSXKD 622'!G$10),'CPSXKD 622'!$F68,0)</f>
        <v>0</v>
      </c>
      <c r="H68" s="192">
        <f>IF(AND($F68&lt;&gt;0,LEFT('CHUNG TU'!$J59,LEN('CPSXKD 622'!H$10))='CPSXKD 622'!H$10),'CPSXKD 622'!$F68,0)</f>
        <v>0</v>
      </c>
      <c r="I68" s="192">
        <f>IF(AND($F68&lt;&gt;0,LEFT('CHUNG TU'!$J59,LEN('CPSXKD 622'!I$10))='CPSXKD 622'!I$10),'CPSXKD 622'!$F68,0)</f>
        <v>0</v>
      </c>
      <c r="J68" s="192">
        <f>IF(AND($F68&lt;&gt;0,LEFT('CHUNG TU'!$J59,LEN('CPSXKD 622'!J$10))='CPSXKD 622'!J$10),'CPSXKD 622'!$F68,0)</f>
        <v>0</v>
      </c>
      <c r="K68" s="192">
        <f t="shared" si="1"/>
        <v>0</v>
      </c>
      <c r="L68" s="201">
        <f>IF(F68&lt;&gt;0,'CHUNG TU'!J59,"")</f>
      </c>
      <c r="M68" s="192">
        <f>IF(LEFT('CHUNG TU'!J59,3)='CPSXKD 622'!$H$7,'CHUNG TU'!$L59,0)</f>
        <v>0</v>
      </c>
      <c r="N68" s="192">
        <f>IF(M68&lt;&gt;0,'CHUNG TU'!I59,"")</f>
      </c>
    </row>
    <row r="69" spans="2:14" ht="12.75">
      <c r="B69" s="192">
        <f>IF($F69+$M69&lt;&gt;0,'CHUNG TU'!A60,"")</f>
      </c>
      <c r="C69" s="192">
        <f>IF($F69+$M69&lt;&gt;0,IF('CHUNG TU'!B60&lt;&gt;"",'CHUNG TU'!B60,IF('CHUNG TU'!C60&lt;&gt;"",'CHUNG TU'!C60,'CHUNG TU'!D60)),"")</f>
      </c>
      <c r="D69" s="192">
        <f>IF($F69+$M69&lt;&gt;0,'CHUNG TU'!F60,"")</f>
      </c>
      <c r="E69" s="192">
        <f>IF($F69+$M69&lt;&gt;0,'CHUNG TU'!H60,"")</f>
      </c>
      <c r="F69" s="192">
        <f>IF(LEFT('CHUNG TU'!I60,3)='CPSXKD 622'!$H$7,'CHUNG TU'!$L60,0)</f>
        <v>0</v>
      </c>
      <c r="G69" s="192">
        <f>IF(AND($F69&lt;&gt;0,LEFT('CHUNG TU'!$J60,LEN('CPSXKD 622'!G$10))='CPSXKD 622'!G$10),'CPSXKD 622'!$F69,0)</f>
        <v>0</v>
      </c>
      <c r="H69" s="192">
        <f>IF(AND($F69&lt;&gt;0,LEFT('CHUNG TU'!$J60,LEN('CPSXKD 622'!H$10))='CPSXKD 622'!H$10),'CPSXKD 622'!$F69,0)</f>
        <v>0</v>
      </c>
      <c r="I69" s="192">
        <f>IF(AND($F69&lt;&gt;0,LEFT('CHUNG TU'!$J60,LEN('CPSXKD 622'!I$10))='CPSXKD 622'!I$10),'CPSXKD 622'!$F69,0)</f>
        <v>0</v>
      </c>
      <c r="J69" s="192">
        <f>IF(AND($F69&lt;&gt;0,LEFT('CHUNG TU'!$J60,LEN('CPSXKD 622'!J$10))='CPSXKD 622'!J$10),'CPSXKD 622'!$F69,0)</f>
        <v>0</v>
      </c>
      <c r="K69" s="192">
        <f t="shared" si="1"/>
        <v>0</v>
      </c>
      <c r="L69" s="201">
        <f>IF(F69&lt;&gt;0,'CHUNG TU'!J60,"")</f>
      </c>
      <c r="M69" s="192">
        <f>IF(LEFT('CHUNG TU'!J60,3)='CPSXKD 622'!$H$7,'CHUNG TU'!$L60,0)</f>
        <v>0</v>
      </c>
      <c r="N69" s="192">
        <f>IF(M69&lt;&gt;0,'CHUNG TU'!I60,"")</f>
      </c>
    </row>
    <row r="70" spans="2:14" ht="12.75">
      <c r="B70" s="192">
        <f>IF($F70+$M70&lt;&gt;0,'CHUNG TU'!A61,"")</f>
      </c>
      <c r="C70" s="192">
        <f>IF($F70+$M70&lt;&gt;0,IF('CHUNG TU'!B61&lt;&gt;"",'CHUNG TU'!B61,IF('CHUNG TU'!C61&lt;&gt;"",'CHUNG TU'!C61,'CHUNG TU'!D61)),"")</f>
      </c>
      <c r="D70" s="192">
        <f>IF($F70+$M70&lt;&gt;0,'CHUNG TU'!F61,"")</f>
      </c>
      <c r="E70" s="192">
        <f>IF($F70+$M70&lt;&gt;0,'CHUNG TU'!H61,"")</f>
      </c>
      <c r="F70" s="192">
        <f>IF(LEFT('CHUNG TU'!I61,3)='CPSXKD 622'!$H$7,'CHUNG TU'!$L61,0)</f>
        <v>0</v>
      </c>
      <c r="G70" s="192">
        <f>IF(AND($F70&lt;&gt;0,LEFT('CHUNG TU'!$J61,LEN('CPSXKD 622'!G$10))='CPSXKD 622'!G$10),'CPSXKD 622'!$F70,0)</f>
        <v>0</v>
      </c>
      <c r="H70" s="192">
        <f>IF(AND($F70&lt;&gt;0,LEFT('CHUNG TU'!$J61,LEN('CPSXKD 622'!H$10))='CPSXKD 622'!H$10),'CPSXKD 622'!$F70,0)</f>
        <v>0</v>
      </c>
      <c r="I70" s="192">
        <f>IF(AND($F70&lt;&gt;0,LEFT('CHUNG TU'!$J61,LEN('CPSXKD 622'!I$10))='CPSXKD 622'!I$10),'CPSXKD 622'!$F70,0)</f>
        <v>0</v>
      </c>
      <c r="J70" s="192">
        <f>IF(AND($F70&lt;&gt;0,LEFT('CHUNG TU'!$J61,LEN('CPSXKD 622'!J$10))='CPSXKD 622'!J$10),'CPSXKD 622'!$F70,0)</f>
        <v>0</v>
      </c>
      <c r="K70" s="192">
        <f t="shared" si="1"/>
        <v>0</v>
      </c>
      <c r="L70" s="201">
        <f>IF(F70&lt;&gt;0,'CHUNG TU'!J61,"")</f>
      </c>
      <c r="M70" s="192">
        <f>IF(LEFT('CHUNG TU'!J61,3)='CPSXKD 622'!$H$7,'CHUNG TU'!$L61,0)</f>
        <v>0</v>
      </c>
      <c r="N70" s="192">
        <f>IF(M70&lt;&gt;0,'CHUNG TU'!I61,"")</f>
      </c>
    </row>
    <row r="71" spans="2:14" ht="12.75">
      <c r="B71" s="192">
        <f>IF($F71+$M71&lt;&gt;0,'CHUNG TU'!A62,"")</f>
      </c>
      <c r="C71" s="192">
        <f>IF($F71+$M71&lt;&gt;0,IF('CHUNG TU'!B62&lt;&gt;"",'CHUNG TU'!B62,IF('CHUNG TU'!C62&lt;&gt;"",'CHUNG TU'!C62,'CHUNG TU'!D62)),"")</f>
      </c>
      <c r="D71" s="192">
        <f>IF($F71+$M71&lt;&gt;0,'CHUNG TU'!F62,"")</f>
      </c>
      <c r="E71" s="192">
        <f>IF($F71+$M71&lt;&gt;0,'CHUNG TU'!H62,"")</f>
      </c>
      <c r="F71" s="192">
        <f>IF(LEFT('CHUNG TU'!I62,3)='CPSXKD 622'!$H$7,'CHUNG TU'!$L62,0)</f>
        <v>0</v>
      </c>
      <c r="G71" s="192">
        <f>IF(AND($F71&lt;&gt;0,LEFT('CHUNG TU'!$J62,LEN('CPSXKD 622'!G$10))='CPSXKD 622'!G$10),'CPSXKD 622'!$F71,0)</f>
        <v>0</v>
      </c>
      <c r="H71" s="192">
        <f>IF(AND($F71&lt;&gt;0,LEFT('CHUNG TU'!$J62,LEN('CPSXKD 622'!H$10))='CPSXKD 622'!H$10),'CPSXKD 622'!$F71,0)</f>
        <v>0</v>
      </c>
      <c r="I71" s="192">
        <f>IF(AND($F71&lt;&gt;0,LEFT('CHUNG TU'!$J62,LEN('CPSXKD 622'!I$10))='CPSXKD 622'!I$10),'CPSXKD 622'!$F71,0)</f>
        <v>0</v>
      </c>
      <c r="J71" s="192">
        <f>IF(AND($F71&lt;&gt;0,LEFT('CHUNG TU'!$J62,LEN('CPSXKD 622'!J$10))='CPSXKD 622'!J$10),'CPSXKD 622'!$F71,0)</f>
        <v>0</v>
      </c>
      <c r="K71" s="192">
        <f t="shared" si="1"/>
        <v>0</v>
      </c>
      <c r="L71" s="201">
        <f>IF(F71&lt;&gt;0,'CHUNG TU'!J62,"")</f>
      </c>
      <c r="M71" s="192">
        <f>IF(LEFT('CHUNG TU'!J62,3)='CPSXKD 622'!$H$7,'CHUNG TU'!$L62,0)</f>
        <v>0</v>
      </c>
      <c r="N71" s="192">
        <f>IF(M71&lt;&gt;0,'CHUNG TU'!I62,"")</f>
      </c>
    </row>
    <row r="72" spans="2:14" ht="12.75">
      <c r="B72" s="192">
        <f>IF($F72+$M72&lt;&gt;0,'CHUNG TU'!A63,"")</f>
      </c>
      <c r="C72" s="192">
        <f>IF($F72+$M72&lt;&gt;0,IF('CHUNG TU'!B63&lt;&gt;"",'CHUNG TU'!B63,IF('CHUNG TU'!C63&lt;&gt;"",'CHUNG TU'!C63,'CHUNG TU'!D63)),"")</f>
      </c>
      <c r="D72" s="192">
        <f>IF($F72+$M72&lt;&gt;0,'CHUNG TU'!F63,"")</f>
      </c>
      <c r="E72" s="192">
        <f>IF($F72+$M72&lt;&gt;0,'CHUNG TU'!H63,"")</f>
      </c>
      <c r="F72" s="192">
        <f>IF(LEFT('CHUNG TU'!I63,3)='CPSXKD 622'!$H$7,'CHUNG TU'!$L63,0)</f>
        <v>0</v>
      </c>
      <c r="G72" s="192">
        <f>IF(AND($F72&lt;&gt;0,LEFT('CHUNG TU'!$J63,LEN('CPSXKD 622'!G$10))='CPSXKD 622'!G$10),'CPSXKD 622'!$F72,0)</f>
        <v>0</v>
      </c>
      <c r="H72" s="192">
        <f>IF(AND($F72&lt;&gt;0,LEFT('CHUNG TU'!$J63,LEN('CPSXKD 622'!H$10))='CPSXKD 622'!H$10),'CPSXKD 622'!$F72,0)</f>
        <v>0</v>
      </c>
      <c r="I72" s="192">
        <f>IF(AND($F72&lt;&gt;0,LEFT('CHUNG TU'!$J63,LEN('CPSXKD 622'!I$10))='CPSXKD 622'!I$10),'CPSXKD 622'!$F72,0)</f>
        <v>0</v>
      </c>
      <c r="J72" s="192">
        <f>IF(AND($F72&lt;&gt;0,LEFT('CHUNG TU'!$J63,LEN('CPSXKD 622'!J$10))='CPSXKD 622'!J$10),'CPSXKD 622'!$F72,0)</f>
        <v>0</v>
      </c>
      <c r="K72" s="192">
        <f t="shared" si="1"/>
        <v>0</v>
      </c>
      <c r="L72" s="201">
        <f>IF(F72&lt;&gt;0,'CHUNG TU'!J63,"")</f>
      </c>
      <c r="M72" s="192">
        <f>IF(LEFT('CHUNG TU'!J63,3)='CPSXKD 622'!$H$7,'CHUNG TU'!$L63,0)</f>
        <v>0</v>
      </c>
      <c r="N72" s="192">
        <f>IF(M72&lt;&gt;0,'CHUNG TU'!I63,"")</f>
      </c>
    </row>
    <row r="73" spans="2:14" ht="12.75">
      <c r="B73" s="192">
        <f>IF($F73+$M73&lt;&gt;0,'CHUNG TU'!A64,"")</f>
      </c>
      <c r="C73" s="192">
        <f>IF($F73+$M73&lt;&gt;0,IF('CHUNG TU'!B64&lt;&gt;"",'CHUNG TU'!B64,IF('CHUNG TU'!C64&lt;&gt;"",'CHUNG TU'!C64,'CHUNG TU'!D64)),"")</f>
      </c>
      <c r="D73" s="192">
        <f>IF($F73+$M73&lt;&gt;0,'CHUNG TU'!F64,"")</f>
      </c>
      <c r="E73" s="192">
        <f>IF($F73+$M73&lt;&gt;0,'CHUNG TU'!H64,"")</f>
      </c>
      <c r="F73" s="192">
        <f>IF(LEFT('CHUNG TU'!I64,3)='CPSXKD 622'!$H$7,'CHUNG TU'!$L64,0)</f>
        <v>0</v>
      </c>
      <c r="G73" s="192">
        <f>IF(AND($F73&lt;&gt;0,LEFT('CHUNG TU'!$J64,LEN('CPSXKD 622'!G$10))='CPSXKD 622'!G$10),'CPSXKD 622'!$F73,0)</f>
        <v>0</v>
      </c>
      <c r="H73" s="192">
        <f>IF(AND($F73&lt;&gt;0,LEFT('CHUNG TU'!$J64,LEN('CPSXKD 622'!H$10))='CPSXKD 622'!H$10),'CPSXKD 622'!$F73,0)</f>
        <v>0</v>
      </c>
      <c r="I73" s="192">
        <f>IF(AND($F73&lt;&gt;0,LEFT('CHUNG TU'!$J64,LEN('CPSXKD 622'!I$10))='CPSXKD 622'!I$10),'CPSXKD 622'!$F73,0)</f>
        <v>0</v>
      </c>
      <c r="J73" s="192">
        <f>IF(AND($F73&lt;&gt;0,LEFT('CHUNG TU'!$J64,LEN('CPSXKD 622'!J$10))='CPSXKD 622'!J$10),'CPSXKD 622'!$F73,0)</f>
        <v>0</v>
      </c>
      <c r="K73" s="192">
        <f t="shared" si="1"/>
        <v>0</v>
      </c>
      <c r="L73" s="201">
        <f>IF(F73&lt;&gt;0,'CHUNG TU'!J64,"")</f>
      </c>
      <c r="M73" s="192">
        <f>IF(LEFT('CHUNG TU'!J64,3)='CPSXKD 622'!$H$7,'CHUNG TU'!$L64,0)</f>
        <v>0</v>
      </c>
      <c r="N73" s="192">
        <f>IF(M73&lt;&gt;0,'CHUNG TU'!I64,"")</f>
      </c>
    </row>
    <row r="74" spans="2:14" ht="12.75">
      <c r="B74" s="192">
        <f>IF($F74+$M74&lt;&gt;0,'CHUNG TU'!A65,"")</f>
      </c>
      <c r="C74" s="192">
        <f>IF($F74+$M74&lt;&gt;0,IF('CHUNG TU'!B65&lt;&gt;"",'CHUNG TU'!B65,IF('CHUNG TU'!C65&lt;&gt;"",'CHUNG TU'!C65,'CHUNG TU'!D65)),"")</f>
      </c>
      <c r="D74" s="192">
        <f>IF($F74+$M74&lt;&gt;0,'CHUNG TU'!F65,"")</f>
      </c>
      <c r="E74" s="192">
        <f>IF($F74+$M74&lt;&gt;0,'CHUNG TU'!H65,"")</f>
      </c>
      <c r="F74" s="192">
        <f>IF(LEFT('CHUNG TU'!I65,3)='CPSXKD 622'!$H$7,'CHUNG TU'!$L65,0)</f>
        <v>0</v>
      </c>
      <c r="G74" s="192">
        <f>IF(AND($F74&lt;&gt;0,LEFT('CHUNG TU'!$J65,LEN('CPSXKD 622'!G$10))='CPSXKD 622'!G$10),'CPSXKD 622'!$F74,0)</f>
        <v>0</v>
      </c>
      <c r="H74" s="192">
        <f>IF(AND($F74&lt;&gt;0,LEFT('CHUNG TU'!$J65,LEN('CPSXKD 622'!H$10))='CPSXKD 622'!H$10),'CPSXKD 622'!$F74,0)</f>
        <v>0</v>
      </c>
      <c r="I74" s="192">
        <f>IF(AND($F74&lt;&gt;0,LEFT('CHUNG TU'!$J65,LEN('CPSXKD 622'!I$10))='CPSXKD 622'!I$10),'CPSXKD 622'!$F74,0)</f>
        <v>0</v>
      </c>
      <c r="J74" s="192">
        <f>IF(AND($F74&lt;&gt;0,LEFT('CHUNG TU'!$J65,LEN('CPSXKD 622'!J$10))='CPSXKD 622'!J$10),'CPSXKD 622'!$F74,0)</f>
        <v>0</v>
      </c>
      <c r="K74" s="192">
        <f t="shared" si="1"/>
        <v>0</v>
      </c>
      <c r="L74" s="201">
        <f>IF(F74&lt;&gt;0,'CHUNG TU'!J65,"")</f>
      </c>
      <c r="M74" s="192">
        <f>IF(LEFT('CHUNG TU'!J65,3)='CPSXKD 622'!$H$7,'CHUNG TU'!$L65,0)</f>
        <v>0</v>
      </c>
      <c r="N74" s="192">
        <f>IF(M74&lt;&gt;0,'CHUNG TU'!I65,"")</f>
      </c>
    </row>
    <row r="75" spans="2:14" ht="12.75">
      <c r="B75" s="192">
        <f>IF($F75+$M75&lt;&gt;0,'CHUNG TU'!A66,"")</f>
      </c>
      <c r="C75" s="192">
        <f>IF($F75+$M75&lt;&gt;0,IF('CHUNG TU'!B66&lt;&gt;"",'CHUNG TU'!B66,IF('CHUNG TU'!C66&lt;&gt;"",'CHUNG TU'!C66,'CHUNG TU'!D66)),"")</f>
      </c>
      <c r="D75" s="192">
        <f>IF($F75+$M75&lt;&gt;0,'CHUNG TU'!F66,"")</f>
      </c>
      <c r="E75" s="192">
        <f>IF($F75+$M75&lt;&gt;0,'CHUNG TU'!H66,"")</f>
      </c>
      <c r="F75" s="192">
        <f>IF(LEFT('CHUNG TU'!I66,3)='CPSXKD 622'!$H$7,'CHUNG TU'!$L66,0)</f>
        <v>0</v>
      </c>
      <c r="G75" s="192">
        <f>IF(AND($F75&lt;&gt;0,LEFT('CHUNG TU'!$J66,LEN('CPSXKD 622'!G$10))='CPSXKD 622'!G$10),'CPSXKD 622'!$F75,0)</f>
        <v>0</v>
      </c>
      <c r="H75" s="192">
        <f>IF(AND($F75&lt;&gt;0,LEFT('CHUNG TU'!$J66,LEN('CPSXKD 622'!H$10))='CPSXKD 622'!H$10),'CPSXKD 622'!$F75,0)</f>
        <v>0</v>
      </c>
      <c r="I75" s="192">
        <f>IF(AND($F75&lt;&gt;0,LEFT('CHUNG TU'!$J66,LEN('CPSXKD 622'!I$10))='CPSXKD 622'!I$10),'CPSXKD 622'!$F75,0)</f>
        <v>0</v>
      </c>
      <c r="J75" s="192">
        <f>IF(AND($F75&lt;&gt;0,LEFT('CHUNG TU'!$J66,LEN('CPSXKD 622'!J$10))='CPSXKD 622'!J$10),'CPSXKD 622'!$F75,0)</f>
        <v>0</v>
      </c>
      <c r="K75" s="192">
        <f t="shared" si="1"/>
        <v>0</v>
      </c>
      <c r="L75" s="201">
        <f>IF(F75&lt;&gt;0,'CHUNG TU'!J66,"")</f>
      </c>
      <c r="M75" s="192">
        <f>IF(LEFT('CHUNG TU'!J66,3)='CPSXKD 622'!$H$7,'CHUNG TU'!$L66,0)</f>
        <v>0</v>
      </c>
      <c r="N75" s="192">
        <f>IF(M75&lt;&gt;0,'CHUNG TU'!I66,"")</f>
      </c>
    </row>
    <row r="76" spans="2:14" ht="12.75">
      <c r="B76" s="192">
        <f>IF($F76+$M76&lt;&gt;0,'CHUNG TU'!A67,"")</f>
      </c>
      <c r="C76" s="192">
        <f>IF($F76+$M76&lt;&gt;0,IF('CHUNG TU'!B67&lt;&gt;"",'CHUNG TU'!B67,IF('CHUNG TU'!C67&lt;&gt;"",'CHUNG TU'!C67,'CHUNG TU'!D67)),"")</f>
      </c>
      <c r="D76" s="192">
        <f>IF($F76+$M76&lt;&gt;0,'CHUNG TU'!F67,"")</f>
      </c>
      <c r="E76" s="192">
        <f>IF($F76+$M76&lt;&gt;0,'CHUNG TU'!H67,"")</f>
      </c>
      <c r="F76" s="192">
        <f>IF(LEFT('CHUNG TU'!I67,3)='CPSXKD 622'!$H$7,'CHUNG TU'!$L67,0)</f>
        <v>0</v>
      </c>
      <c r="G76" s="192">
        <f>IF(AND($F76&lt;&gt;0,LEFT('CHUNG TU'!$J67,LEN('CPSXKD 622'!G$10))='CPSXKD 622'!G$10),'CPSXKD 622'!$F76,0)</f>
        <v>0</v>
      </c>
      <c r="H76" s="192">
        <f>IF(AND($F76&lt;&gt;0,LEFT('CHUNG TU'!$J67,LEN('CPSXKD 622'!H$10))='CPSXKD 622'!H$10),'CPSXKD 622'!$F76,0)</f>
        <v>0</v>
      </c>
      <c r="I76" s="192">
        <f>IF(AND($F76&lt;&gt;0,LEFT('CHUNG TU'!$J67,LEN('CPSXKD 622'!I$10))='CPSXKD 622'!I$10),'CPSXKD 622'!$F76,0)</f>
        <v>0</v>
      </c>
      <c r="J76" s="192">
        <f>IF(AND($F76&lt;&gt;0,LEFT('CHUNG TU'!$J67,LEN('CPSXKD 622'!J$10))='CPSXKD 622'!J$10),'CPSXKD 622'!$F76,0)</f>
        <v>0</v>
      </c>
      <c r="K76" s="192">
        <f t="shared" si="1"/>
        <v>0</v>
      </c>
      <c r="L76" s="201">
        <f>IF(F76&lt;&gt;0,'CHUNG TU'!J67,"")</f>
      </c>
      <c r="M76" s="192">
        <f>IF(LEFT('CHUNG TU'!J67,3)='CPSXKD 622'!$H$7,'CHUNG TU'!$L67,0)</f>
        <v>0</v>
      </c>
      <c r="N76" s="192">
        <f>IF(M76&lt;&gt;0,'CHUNG TU'!I67,"")</f>
      </c>
    </row>
    <row r="77" spans="2:14" ht="12.75">
      <c r="B77" s="192">
        <f>IF($F77+$M77&lt;&gt;0,'CHUNG TU'!A68,"")</f>
      </c>
      <c r="C77" s="192">
        <f>IF($F77+$M77&lt;&gt;0,IF('CHUNG TU'!B68&lt;&gt;"",'CHUNG TU'!B68,IF('CHUNG TU'!C68&lt;&gt;"",'CHUNG TU'!C68,'CHUNG TU'!D68)),"")</f>
      </c>
      <c r="D77" s="192">
        <f>IF($F77+$M77&lt;&gt;0,'CHUNG TU'!F68,"")</f>
      </c>
      <c r="E77" s="192">
        <f>IF($F77+$M77&lt;&gt;0,'CHUNG TU'!H68,"")</f>
      </c>
      <c r="F77" s="192">
        <f>IF(LEFT('CHUNG TU'!I68,3)='CPSXKD 622'!$H$7,'CHUNG TU'!$L68,0)</f>
        <v>0</v>
      </c>
      <c r="G77" s="192">
        <f>IF(AND($F77&lt;&gt;0,LEFT('CHUNG TU'!$J68,LEN('CPSXKD 622'!G$10))='CPSXKD 622'!G$10),'CPSXKD 622'!$F77,0)</f>
        <v>0</v>
      </c>
      <c r="H77" s="192">
        <f>IF(AND($F77&lt;&gt;0,LEFT('CHUNG TU'!$J68,LEN('CPSXKD 622'!H$10))='CPSXKD 622'!H$10),'CPSXKD 622'!$F77,0)</f>
        <v>0</v>
      </c>
      <c r="I77" s="192">
        <f>IF(AND($F77&lt;&gt;0,LEFT('CHUNG TU'!$J68,LEN('CPSXKD 622'!I$10))='CPSXKD 622'!I$10),'CPSXKD 622'!$F77,0)</f>
        <v>0</v>
      </c>
      <c r="J77" s="192">
        <f>IF(AND($F77&lt;&gt;0,LEFT('CHUNG TU'!$J68,LEN('CPSXKD 622'!J$10))='CPSXKD 622'!J$10),'CPSXKD 622'!$F77,0)</f>
        <v>0</v>
      </c>
      <c r="K77" s="192">
        <f t="shared" si="1"/>
        <v>0</v>
      </c>
      <c r="L77" s="201">
        <f>IF(F77&lt;&gt;0,'CHUNG TU'!J68,"")</f>
      </c>
      <c r="M77" s="192">
        <f>IF(LEFT('CHUNG TU'!J68,3)='CPSXKD 622'!$H$7,'CHUNG TU'!$L68,0)</f>
        <v>0</v>
      </c>
      <c r="N77" s="192">
        <f>IF(M77&lt;&gt;0,'CHUNG TU'!I68,"")</f>
      </c>
    </row>
    <row r="78" spans="2:14" ht="12.75">
      <c r="B78" s="192">
        <f>IF($F78+$M78&lt;&gt;0,'CHUNG TU'!A69,"")</f>
      </c>
      <c r="C78" s="192">
        <f>IF($F78+$M78&lt;&gt;0,IF('CHUNG TU'!B69&lt;&gt;"",'CHUNG TU'!B69,IF('CHUNG TU'!C69&lt;&gt;"",'CHUNG TU'!C69,'CHUNG TU'!D69)),"")</f>
      </c>
      <c r="D78" s="192">
        <f>IF($F78+$M78&lt;&gt;0,'CHUNG TU'!F69,"")</f>
      </c>
      <c r="E78" s="192">
        <f>IF($F78+$M78&lt;&gt;0,'CHUNG TU'!H69,"")</f>
      </c>
      <c r="F78" s="192">
        <f>IF(LEFT('CHUNG TU'!I69,3)='CPSXKD 622'!$H$7,'CHUNG TU'!$L69,0)</f>
        <v>0</v>
      </c>
      <c r="G78" s="192">
        <f>IF(AND($F78&lt;&gt;0,LEFT('CHUNG TU'!$J69,LEN('CPSXKD 622'!G$10))='CPSXKD 622'!G$10),'CPSXKD 622'!$F78,0)</f>
        <v>0</v>
      </c>
      <c r="H78" s="192">
        <f>IF(AND($F78&lt;&gt;0,LEFT('CHUNG TU'!$J69,LEN('CPSXKD 622'!H$10))='CPSXKD 622'!H$10),'CPSXKD 622'!$F78,0)</f>
        <v>0</v>
      </c>
      <c r="I78" s="192">
        <f>IF(AND($F78&lt;&gt;0,LEFT('CHUNG TU'!$J69,LEN('CPSXKD 622'!I$10))='CPSXKD 622'!I$10),'CPSXKD 622'!$F78,0)</f>
        <v>0</v>
      </c>
      <c r="J78" s="192">
        <f>IF(AND($F78&lt;&gt;0,LEFT('CHUNG TU'!$J69,LEN('CPSXKD 622'!J$10))='CPSXKD 622'!J$10),'CPSXKD 622'!$F78,0)</f>
        <v>0</v>
      </c>
      <c r="K78" s="192">
        <f t="shared" si="1"/>
        <v>0</v>
      </c>
      <c r="L78" s="201">
        <f>IF(F78&lt;&gt;0,'CHUNG TU'!J69,"")</f>
      </c>
      <c r="M78" s="192">
        <f>IF(LEFT('CHUNG TU'!J69,3)='CPSXKD 622'!$H$7,'CHUNG TU'!$L69,0)</f>
        <v>0</v>
      </c>
      <c r="N78" s="192">
        <f>IF(M78&lt;&gt;0,'CHUNG TU'!I69,"")</f>
      </c>
    </row>
    <row r="79" spans="2:14" ht="12.75">
      <c r="B79" s="192">
        <f>IF($F79+$M79&lt;&gt;0,'CHUNG TU'!A70,"")</f>
      </c>
      <c r="C79" s="192">
        <f>IF($F79+$M79&lt;&gt;0,IF('CHUNG TU'!B70&lt;&gt;"",'CHUNG TU'!B70,IF('CHUNG TU'!C70&lt;&gt;"",'CHUNG TU'!C70,'CHUNG TU'!D70)),"")</f>
      </c>
      <c r="D79" s="192">
        <f>IF($F79+$M79&lt;&gt;0,'CHUNG TU'!F70,"")</f>
      </c>
      <c r="E79" s="192">
        <f>IF($F79+$M79&lt;&gt;0,'CHUNG TU'!H70,"")</f>
      </c>
      <c r="F79" s="192">
        <f>IF(LEFT('CHUNG TU'!I70,3)='CPSXKD 622'!$H$7,'CHUNG TU'!$L70,0)</f>
        <v>0</v>
      </c>
      <c r="G79" s="192">
        <f>IF(AND($F79&lt;&gt;0,LEFT('CHUNG TU'!$J70,LEN('CPSXKD 622'!G$10))='CPSXKD 622'!G$10),'CPSXKD 622'!$F79,0)</f>
        <v>0</v>
      </c>
      <c r="H79" s="192">
        <f>IF(AND($F79&lt;&gt;0,LEFT('CHUNG TU'!$J70,LEN('CPSXKD 622'!H$10))='CPSXKD 622'!H$10),'CPSXKD 622'!$F79,0)</f>
        <v>0</v>
      </c>
      <c r="I79" s="192">
        <f>IF(AND($F79&lt;&gt;0,LEFT('CHUNG TU'!$J70,LEN('CPSXKD 622'!I$10))='CPSXKD 622'!I$10),'CPSXKD 622'!$F79,0)</f>
        <v>0</v>
      </c>
      <c r="J79" s="192">
        <f>IF(AND($F79&lt;&gt;0,LEFT('CHUNG TU'!$J70,LEN('CPSXKD 622'!J$10))='CPSXKD 622'!J$10),'CPSXKD 622'!$F79,0)</f>
        <v>0</v>
      </c>
      <c r="K79" s="192">
        <f aca="true" t="shared" si="2" ref="K79:K142">F79-SUM(G79:J79)</f>
        <v>0</v>
      </c>
      <c r="L79" s="201">
        <f>IF(F79&lt;&gt;0,'CHUNG TU'!J70,"")</f>
      </c>
      <c r="M79" s="192">
        <f>IF(LEFT('CHUNG TU'!J70,3)='CPSXKD 622'!$H$7,'CHUNG TU'!$L70,0)</f>
        <v>0</v>
      </c>
      <c r="N79" s="192">
        <f>IF(M79&lt;&gt;0,'CHUNG TU'!I70,"")</f>
      </c>
    </row>
    <row r="80" spans="2:14" ht="12.75">
      <c r="B80" s="192">
        <f>IF($F80+$M80&lt;&gt;0,'CHUNG TU'!A71,"")</f>
      </c>
      <c r="C80" s="192">
        <f>IF($F80+$M80&lt;&gt;0,IF('CHUNG TU'!B71&lt;&gt;"",'CHUNG TU'!B71,IF('CHUNG TU'!C71&lt;&gt;"",'CHUNG TU'!C71,'CHUNG TU'!D71)),"")</f>
      </c>
      <c r="D80" s="192">
        <f>IF($F80+$M80&lt;&gt;0,'CHUNG TU'!F71,"")</f>
      </c>
      <c r="E80" s="192">
        <f>IF($F80+$M80&lt;&gt;0,'CHUNG TU'!H71,"")</f>
      </c>
      <c r="F80" s="192">
        <f>IF(LEFT('CHUNG TU'!I71,3)='CPSXKD 622'!$H$7,'CHUNG TU'!$L71,0)</f>
        <v>0</v>
      </c>
      <c r="G80" s="192">
        <f>IF(AND($F80&lt;&gt;0,LEFT('CHUNG TU'!$J71,LEN('CPSXKD 622'!G$10))='CPSXKD 622'!G$10),'CPSXKD 622'!$F80,0)</f>
        <v>0</v>
      </c>
      <c r="H80" s="192">
        <f>IF(AND($F80&lt;&gt;0,LEFT('CHUNG TU'!$J71,LEN('CPSXKD 622'!H$10))='CPSXKD 622'!H$10),'CPSXKD 622'!$F80,0)</f>
        <v>0</v>
      </c>
      <c r="I80" s="192">
        <f>IF(AND($F80&lt;&gt;0,LEFT('CHUNG TU'!$J71,LEN('CPSXKD 622'!I$10))='CPSXKD 622'!I$10),'CPSXKD 622'!$F80,0)</f>
        <v>0</v>
      </c>
      <c r="J80" s="192">
        <f>IF(AND($F80&lt;&gt;0,LEFT('CHUNG TU'!$J71,LEN('CPSXKD 622'!J$10))='CPSXKD 622'!J$10),'CPSXKD 622'!$F80,0)</f>
        <v>0</v>
      </c>
      <c r="K80" s="192">
        <f t="shared" si="2"/>
        <v>0</v>
      </c>
      <c r="L80" s="201">
        <f>IF(F80&lt;&gt;0,'CHUNG TU'!J71,"")</f>
      </c>
      <c r="M80" s="192">
        <f>IF(LEFT('CHUNG TU'!J71,3)='CPSXKD 622'!$H$7,'CHUNG TU'!$L71,0)</f>
        <v>0</v>
      </c>
      <c r="N80" s="192">
        <f>IF(M80&lt;&gt;0,'CHUNG TU'!I71,"")</f>
      </c>
    </row>
    <row r="81" spans="2:14" ht="12.75">
      <c r="B81" s="192">
        <f>IF($F81+$M81&lt;&gt;0,'CHUNG TU'!A72,"")</f>
      </c>
      <c r="C81" s="192">
        <f>IF($F81+$M81&lt;&gt;0,IF('CHUNG TU'!B72&lt;&gt;"",'CHUNG TU'!B72,IF('CHUNG TU'!C72&lt;&gt;"",'CHUNG TU'!C72,'CHUNG TU'!D72)),"")</f>
      </c>
      <c r="D81" s="192">
        <f>IF($F81+$M81&lt;&gt;0,'CHUNG TU'!F72,"")</f>
      </c>
      <c r="E81" s="192">
        <f>IF($F81+$M81&lt;&gt;0,'CHUNG TU'!H72,"")</f>
      </c>
      <c r="F81" s="192">
        <f>IF(LEFT('CHUNG TU'!I72,3)='CPSXKD 622'!$H$7,'CHUNG TU'!$L72,0)</f>
        <v>0</v>
      </c>
      <c r="G81" s="192">
        <f>IF(AND($F81&lt;&gt;0,LEFT('CHUNG TU'!$J72,LEN('CPSXKD 622'!G$10))='CPSXKD 622'!G$10),'CPSXKD 622'!$F81,0)</f>
        <v>0</v>
      </c>
      <c r="H81" s="192">
        <f>IF(AND($F81&lt;&gt;0,LEFT('CHUNG TU'!$J72,LEN('CPSXKD 622'!H$10))='CPSXKD 622'!H$10),'CPSXKD 622'!$F81,0)</f>
        <v>0</v>
      </c>
      <c r="I81" s="192">
        <f>IF(AND($F81&lt;&gt;0,LEFT('CHUNG TU'!$J72,LEN('CPSXKD 622'!I$10))='CPSXKD 622'!I$10),'CPSXKD 622'!$F81,0)</f>
        <v>0</v>
      </c>
      <c r="J81" s="192">
        <f>IF(AND($F81&lt;&gt;0,LEFT('CHUNG TU'!$J72,LEN('CPSXKD 622'!J$10))='CPSXKD 622'!J$10),'CPSXKD 622'!$F81,0)</f>
        <v>0</v>
      </c>
      <c r="K81" s="192">
        <f t="shared" si="2"/>
        <v>0</v>
      </c>
      <c r="L81" s="201">
        <f>IF(F81&lt;&gt;0,'CHUNG TU'!J72,"")</f>
      </c>
      <c r="M81" s="192">
        <f>IF(LEFT('CHUNG TU'!J72,3)='CPSXKD 622'!$H$7,'CHUNG TU'!$L72,0)</f>
        <v>0</v>
      </c>
      <c r="N81" s="192">
        <f>IF(M81&lt;&gt;0,'CHUNG TU'!I72,"")</f>
      </c>
    </row>
    <row r="82" spans="2:14" ht="12.75">
      <c r="B82" s="192">
        <f>IF($F82+$M82&lt;&gt;0,'CHUNG TU'!A73,"")</f>
      </c>
      <c r="C82" s="192">
        <f>IF($F82+$M82&lt;&gt;0,IF('CHUNG TU'!B73&lt;&gt;"",'CHUNG TU'!B73,IF('CHUNG TU'!C73&lt;&gt;"",'CHUNG TU'!C73,'CHUNG TU'!D73)),"")</f>
      </c>
      <c r="D82" s="192">
        <f>IF($F82+$M82&lt;&gt;0,'CHUNG TU'!F73,"")</f>
      </c>
      <c r="E82" s="192">
        <f>IF($F82+$M82&lt;&gt;0,'CHUNG TU'!H73,"")</f>
      </c>
      <c r="F82" s="192">
        <f>IF(LEFT('CHUNG TU'!I73,3)='CPSXKD 622'!$H$7,'CHUNG TU'!$L73,0)</f>
        <v>0</v>
      </c>
      <c r="G82" s="192">
        <f>IF(AND($F82&lt;&gt;0,LEFT('CHUNG TU'!$J73,LEN('CPSXKD 622'!G$10))='CPSXKD 622'!G$10),'CPSXKD 622'!$F82,0)</f>
        <v>0</v>
      </c>
      <c r="H82" s="192">
        <f>IF(AND($F82&lt;&gt;0,LEFT('CHUNG TU'!$J73,LEN('CPSXKD 622'!H$10))='CPSXKD 622'!H$10),'CPSXKD 622'!$F82,0)</f>
        <v>0</v>
      </c>
      <c r="I82" s="192">
        <f>IF(AND($F82&lt;&gt;0,LEFT('CHUNG TU'!$J73,LEN('CPSXKD 622'!I$10))='CPSXKD 622'!I$10),'CPSXKD 622'!$F82,0)</f>
        <v>0</v>
      </c>
      <c r="J82" s="192">
        <f>IF(AND($F82&lt;&gt;0,LEFT('CHUNG TU'!$J73,LEN('CPSXKD 622'!J$10))='CPSXKD 622'!J$10),'CPSXKD 622'!$F82,0)</f>
        <v>0</v>
      </c>
      <c r="K82" s="192">
        <f t="shared" si="2"/>
        <v>0</v>
      </c>
      <c r="L82" s="201">
        <f>IF(F82&lt;&gt;0,'CHUNG TU'!J73,"")</f>
      </c>
      <c r="M82" s="192">
        <f>IF(LEFT('CHUNG TU'!J73,3)='CPSXKD 622'!$H$7,'CHUNG TU'!$L73,0)</f>
        <v>0</v>
      </c>
      <c r="N82" s="192">
        <f>IF(M82&lt;&gt;0,'CHUNG TU'!I73,"")</f>
      </c>
    </row>
    <row r="83" spans="2:14" ht="12.75">
      <c r="B83" s="192">
        <f>IF($F83+$M83&lt;&gt;0,'CHUNG TU'!A74,"")</f>
      </c>
      <c r="C83" s="192">
        <f>IF($F83+$M83&lt;&gt;0,IF('CHUNG TU'!B74&lt;&gt;"",'CHUNG TU'!B74,IF('CHUNG TU'!C74&lt;&gt;"",'CHUNG TU'!C74,'CHUNG TU'!D74)),"")</f>
      </c>
      <c r="D83" s="192">
        <f>IF($F83+$M83&lt;&gt;0,'CHUNG TU'!F74,"")</f>
      </c>
      <c r="E83" s="192">
        <f>IF($F83+$M83&lt;&gt;0,'CHUNG TU'!H74,"")</f>
      </c>
      <c r="F83" s="192">
        <f>IF(LEFT('CHUNG TU'!I74,3)='CPSXKD 622'!$H$7,'CHUNG TU'!$L74,0)</f>
        <v>0</v>
      </c>
      <c r="G83" s="192">
        <f>IF(AND($F83&lt;&gt;0,LEFT('CHUNG TU'!$J74,LEN('CPSXKD 622'!G$10))='CPSXKD 622'!G$10),'CPSXKD 622'!$F83,0)</f>
        <v>0</v>
      </c>
      <c r="H83" s="192">
        <f>IF(AND($F83&lt;&gt;0,LEFT('CHUNG TU'!$J74,LEN('CPSXKD 622'!H$10))='CPSXKD 622'!H$10),'CPSXKD 622'!$F83,0)</f>
        <v>0</v>
      </c>
      <c r="I83" s="192">
        <f>IF(AND($F83&lt;&gt;0,LEFT('CHUNG TU'!$J74,LEN('CPSXKD 622'!I$10))='CPSXKD 622'!I$10),'CPSXKD 622'!$F83,0)</f>
        <v>0</v>
      </c>
      <c r="J83" s="192">
        <f>IF(AND($F83&lt;&gt;0,LEFT('CHUNG TU'!$J74,LEN('CPSXKD 622'!J$10))='CPSXKD 622'!J$10),'CPSXKD 622'!$F83,0)</f>
        <v>0</v>
      </c>
      <c r="K83" s="192">
        <f t="shared" si="2"/>
        <v>0</v>
      </c>
      <c r="L83" s="201">
        <f>IF(F83&lt;&gt;0,'CHUNG TU'!J74,"")</f>
      </c>
      <c r="M83" s="192">
        <f>IF(LEFT('CHUNG TU'!J74,3)='CPSXKD 622'!$H$7,'CHUNG TU'!$L74,0)</f>
        <v>0</v>
      </c>
      <c r="N83" s="192">
        <f>IF(M83&lt;&gt;0,'CHUNG TU'!I74,"")</f>
      </c>
    </row>
    <row r="84" spans="2:14" ht="12.75">
      <c r="B84" s="192">
        <f>IF($F84+$M84&lt;&gt;0,'CHUNG TU'!A75,"")</f>
      </c>
      <c r="C84" s="192">
        <f>IF($F84+$M84&lt;&gt;0,IF('CHUNG TU'!B75&lt;&gt;"",'CHUNG TU'!B75,IF('CHUNG TU'!C75&lt;&gt;"",'CHUNG TU'!C75,'CHUNG TU'!D75)),"")</f>
      </c>
      <c r="D84" s="192">
        <f>IF($F84+$M84&lt;&gt;0,'CHUNG TU'!F75,"")</f>
      </c>
      <c r="E84" s="192">
        <f>IF($F84+$M84&lt;&gt;0,'CHUNG TU'!H75,"")</f>
      </c>
      <c r="F84" s="192">
        <f>IF(LEFT('CHUNG TU'!I75,3)='CPSXKD 622'!$H$7,'CHUNG TU'!$L75,0)</f>
        <v>0</v>
      </c>
      <c r="G84" s="192">
        <f>IF(AND($F84&lt;&gt;0,LEFT('CHUNG TU'!$J75,LEN('CPSXKD 622'!G$10))='CPSXKD 622'!G$10),'CPSXKD 622'!$F84,0)</f>
        <v>0</v>
      </c>
      <c r="H84" s="192">
        <f>IF(AND($F84&lt;&gt;0,LEFT('CHUNG TU'!$J75,LEN('CPSXKD 622'!H$10))='CPSXKD 622'!H$10),'CPSXKD 622'!$F84,0)</f>
        <v>0</v>
      </c>
      <c r="I84" s="192">
        <f>IF(AND($F84&lt;&gt;0,LEFT('CHUNG TU'!$J75,LEN('CPSXKD 622'!I$10))='CPSXKD 622'!I$10),'CPSXKD 622'!$F84,0)</f>
        <v>0</v>
      </c>
      <c r="J84" s="192">
        <f>IF(AND($F84&lt;&gt;0,LEFT('CHUNG TU'!$J75,LEN('CPSXKD 622'!J$10))='CPSXKD 622'!J$10),'CPSXKD 622'!$F84,0)</f>
        <v>0</v>
      </c>
      <c r="K84" s="192">
        <f t="shared" si="2"/>
        <v>0</v>
      </c>
      <c r="L84" s="201">
        <f>IF(F84&lt;&gt;0,'CHUNG TU'!J75,"")</f>
      </c>
      <c r="M84" s="192">
        <f>IF(LEFT('CHUNG TU'!J75,3)='CPSXKD 622'!$H$7,'CHUNG TU'!$L75,0)</f>
        <v>0</v>
      </c>
      <c r="N84" s="192">
        <f>IF(M84&lt;&gt;0,'CHUNG TU'!I75,"")</f>
      </c>
    </row>
    <row r="85" spans="2:14" ht="12.75">
      <c r="B85" s="192">
        <f>IF($F85+$M85&lt;&gt;0,'CHUNG TU'!A76,"")</f>
      </c>
      <c r="C85" s="192">
        <f>IF($F85+$M85&lt;&gt;0,IF('CHUNG TU'!B76&lt;&gt;"",'CHUNG TU'!B76,IF('CHUNG TU'!C76&lt;&gt;"",'CHUNG TU'!C76,'CHUNG TU'!D76)),"")</f>
      </c>
      <c r="D85" s="192">
        <f>IF($F85+$M85&lt;&gt;0,'CHUNG TU'!F76,"")</f>
      </c>
      <c r="E85" s="192">
        <f>IF($F85+$M85&lt;&gt;0,'CHUNG TU'!H76,"")</f>
      </c>
      <c r="F85" s="192">
        <f>IF(LEFT('CHUNG TU'!I76,3)='CPSXKD 622'!$H$7,'CHUNG TU'!$L76,0)</f>
        <v>0</v>
      </c>
      <c r="G85" s="192">
        <f>IF(AND($F85&lt;&gt;0,LEFT('CHUNG TU'!$J76,LEN('CPSXKD 622'!G$10))='CPSXKD 622'!G$10),'CPSXKD 622'!$F85,0)</f>
        <v>0</v>
      </c>
      <c r="H85" s="192">
        <f>IF(AND($F85&lt;&gt;0,LEFT('CHUNG TU'!$J76,LEN('CPSXKD 622'!H$10))='CPSXKD 622'!H$10),'CPSXKD 622'!$F85,0)</f>
        <v>0</v>
      </c>
      <c r="I85" s="192">
        <f>IF(AND($F85&lt;&gt;0,LEFT('CHUNG TU'!$J76,LEN('CPSXKD 622'!I$10))='CPSXKD 622'!I$10),'CPSXKD 622'!$F85,0)</f>
        <v>0</v>
      </c>
      <c r="J85" s="192">
        <f>IF(AND($F85&lt;&gt;0,LEFT('CHUNG TU'!$J76,LEN('CPSXKD 622'!J$10))='CPSXKD 622'!J$10),'CPSXKD 622'!$F85,0)</f>
        <v>0</v>
      </c>
      <c r="K85" s="192">
        <f t="shared" si="2"/>
        <v>0</v>
      </c>
      <c r="L85" s="201">
        <f>IF(F85&lt;&gt;0,'CHUNG TU'!J76,"")</f>
      </c>
      <c r="M85" s="192">
        <f>IF(LEFT('CHUNG TU'!J76,3)='CPSXKD 622'!$H$7,'CHUNG TU'!$L76,0)</f>
        <v>0</v>
      </c>
      <c r="N85" s="192">
        <f>IF(M85&lt;&gt;0,'CHUNG TU'!I76,"")</f>
      </c>
    </row>
    <row r="86" spans="2:14" ht="12.75">
      <c r="B86" s="192">
        <f>IF($F86+$M86&lt;&gt;0,'CHUNG TU'!A77,"")</f>
      </c>
      <c r="C86" s="192">
        <f>IF($F86+$M86&lt;&gt;0,IF('CHUNG TU'!B77&lt;&gt;"",'CHUNG TU'!B77,IF('CHUNG TU'!C77&lt;&gt;"",'CHUNG TU'!C77,'CHUNG TU'!D77)),"")</f>
      </c>
      <c r="D86" s="192">
        <f>IF($F86+$M86&lt;&gt;0,'CHUNG TU'!F77,"")</f>
      </c>
      <c r="E86" s="192">
        <f>IF($F86+$M86&lt;&gt;0,'CHUNG TU'!H77,"")</f>
      </c>
      <c r="F86" s="192">
        <f>IF(LEFT('CHUNG TU'!I77,3)='CPSXKD 622'!$H$7,'CHUNG TU'!$L77,0)</f>
        <v>0</v>
      </c>
      <c r="G86" s="192">
        <f>IF(AND($F86&lt;&gt;0,LEFT('CHUNG TU'!$J77,LEN('CPSXKD 622'!G$10))='CPSXKD 622'!G$10),'CPSXKD 622'!$F86,0)</f>
        <v>0</v>
      </c>
      <c r="H86" s="192">
        <f>IF(AND($F86&lt;&gt;0,LEFT('CHUNG TU'!$J77,LEN('CPSXKD 622'!H$10))='CPSXKD 622'!H$10),'CPSXKD 622'!$F86,0)</f>
        <v>0</v>
      </c>
      <c r="I86" s="192">
        <f>IF(AND($F86&lt;&gt;0,LEFT('CHUNG TU'!$J77,LEN('CPSXKD 622'!I$10))='CPSXKD 622'!I$10),'CPSXKD 622'!$F86,0)</f>
        <v>0</v>
      </c>
      <c r="J86" s="192">
        <f>IF(AND($F86&lt;&gt;0,LEFT('CHUNG TU'!$J77,LEN('CPSXKD 622'!J$10))='CPSXKD 622'!J$10),'CPSXKD 622'!$F86,0)</f>
        <v>0</v>
      </c>
      <c r="K86" s="192">
        <f t="shared" si="2"/>
        <v>0</v>
      </c>
      <c r="L86" s="201">
        <f>IF(F86&lt;&gt;0,'CHUNG TU'!J77,"")</f>
      </c>
      <c r="M86" s="192">
        <f>IF(LEFT('CHUNG TU'!J77,3)='CPSXKD 622'!$H$7,'CHUNG TU'!$L77,0)</f>
        <v>0</v>
      </c>
      <c r="N86" s="192">
        <f>IF(M86&lt;&gt;0,'CHUNG TU'!I77,"")</f>
      </c>
    </row>
    <row r="87" spans="2:14" ht="12.75">
      <c r="B87" s="192">
        <f>IF($F87+$M87&lt;&gt;0,'CHUNG TU'!A78,"")</f>
      </c>
      <c r="C87" s="192">
        <f>IF($F87+$M87&lt;&gt;0,IF('CHUNG TU'!B78&lt;&gt;"",'CHUNG TU'!B78,IF('CHUNG TU'!C78&lt;&gt;"",'CHUNG TU'!C78,'CHUNG TU'!D78)),"")</f>
      </c>
      <c r="D87" s="192">
        <f>IF($F87+$M87&lt;&gt;0,'CHUNG TU'!F78,"")</f>
      </c>
      <c r="E87" s="192">
        <f>IF($F87+$M87&lt;&gt;0,'CHUNG TU'!H78,"")</f>
      </c>
      <c r="F87" s="192">
        <f>IF(LEFT('CHUNG TU'!I78,3)='CPSXKD 622'!$H$7,'CHUNG TU'!$L78,0)</f>
        <v>0</v>
      </c>
      <c r="G87" s="192">
        <f>IF(AND($F87&lt;&gt;0,LEFT('CHUNG TU'!$J78,LEN('CPSXKD 622'!G$10))='CPSXKD 622'!G$10),'CPSXKD 622'!$F87,0)</f>
        <v>0</v>
      </c>
      <c r="H87" s="192">
        <f>IF(AND($F87&lt;&gt;0,LEFT('CHUNG TU'!$J78,LEN('CPSXKD 622'!H$10))='CPSXKD 622'!H$10),'CPSXKD 622'!$F87,0)</f>
        <v>0</v>
      </c>
      <c r="I87" s="192">
        <f>IF(AND($F87&lt;&gt;0,LEFT('CHUNG TU'!$J78,LEN('CPSXKD 622'!I$10))='CPSXKD 622'!I$10),'CPSXKD 622'!$F87,0)</f>
        <v>0</v>
      </c>
      <c r="J87" s="192">
        <f>IF(AND($F87&lt;&gt;0,LEFT('CHUNG TU'!$J78,LEN('CPSXKD 622'!J$10))='CPSXKD 622'!J$10),'CPSXKD 622'!$F87,0)</f>
        <v>0</v>
      </c>
      <c r="K87" s="192">
        <f t="shared" si="2"/>
        <v>0</v>
      </c>
      <c r="L87" s="201">
        <f>IF(F87&lt;&gt;0,'CHUNG TU'!J78,"")</f>
      </c>
      <c r="M87" s="192">
        <f>IF(LEFT('CHUNG TU'!J78,3)='CPSXKD 622'!$H$7,'CHUNG TU'!$L78,0)</f>
        <v>0</v>
      </c>
      <c r="N87" s="192">
        <f>IF(M87&lt;&gt;0,'CHUNG TU'!I78,"")</f>
      </c>
    </row>
    <row r="88" spans="2:14" ht="12.75">
      <c r="B88" s="192">
        <f>IF($F88+$M88&lt;&gt;0,'CHUNG TU'!A79,"")</f>
      </c>
      <c r="C88" s="192">
        <f>IF($F88+$M88&lt;&gt;0,IF('CHUNG TU'!B79&lt;&gt;"",'CHUNG TU'!B79,IF('CHUNG TU'!C79&lt;&gt;"",'CHUNG TU'!C79,'CHUNG TU'!D79)),"")</f>
      </c>
      <c r="D88" s="192">
        <f>IF($F88+$M88&lt;&gt;0,'CHUNG TU'!F79,"")</f>
      </c>
      <c r="E88" s="192">
        <f>IF($F88+$M88&lt;&gt;0,'CHUNG TU'!H79,"")</f>
      </c>
      <c r="F88" s="192">
        <f>IF(LEFT('CHUNG TU'!I79,3)='CPSXKD 622'!$H$7,'CHUNG TU'!$L79,0)</f>
        <v>0</v>
      </c>
      <c r="G88" s="192">
        <f>IF(AND($F88&lt;&gt;0,LEFT('CHUNG TU'!$J79,LEN('CPSXKD 622'!G$10))='CPSXKD 622'!G$10),'CPSXKD 622'!$F88,0)</f>
        <v>0</v>
      </c>
      <c r="H88" s="192">
        <f>IF(AND($F88&lt;&gt;0,LEFT('CHUNG TU'!$J79,LEN('CPSXKD 622'!H$10))='CPSXKD 622'!H$10),'CPSXKD 622'!$F88,0)</f>
        <v>0</v>
      </c>
      <c r="I88" s="192">
        <f>IF(AND($F88&lt;&gt;0,LEFT('CHUNG TU'!$J79,LEN('CPSXKD 622'!I$10))='CPSXKD 622'!I$10),'CPSXKD 622'!$F88,0)</f>
        <v>0</v>
      </c>
      <c r="J88" s="192">
        <f>IF(AND($F88&lt;&gt;0,LEFT('CHUNG TU'!$J79,LEN('CPSXKD 622'!J$10))='CPSXKD 622'!J$10),'CPSXKD 622'!$F88,0)</f>
        <v>0</v>
      </c>
      <c r="K88" s="192">
        <f t="shared" si="2"/>
        <v>0</v>
      </c>
      <c r="L88" s="201">
        <f>IF(F88&lt;&gt;0,'CHUNG TU'!J79,"")</f>
      </c>
      <c r="M88" s="192">
        <f>IF(LEFT('CHUNG TU'!J79,3)='CPSXKD 622'!$H$7,'CHUNG TU'!$L79,0)</f>
        <v>0</v>
      </c>
      <c r="N88" s="192">
        <f>IF(M88&lt;&gt;0,'CHUNG TU'!I79,"")</f>
      </c>
    </row>
    <row r="89" spans="2:14" ht="12.75">
      <c r="B89" s="192">
        <f>IF($F89+$M89&lt;&gt;0,'CHUNG TU'!A80,"")</f>
      </c>
      <c r="C89" s="192">
        <f>IF($F89+$M89&lt;&gt;0,IF('CHUNG TU'!B80&lt;&gt;"",'CHUNG TU'!B80,IF('CHUNG TU'!C80&lt;&gt;"",'CHUNG TU'!C80,'CHUNG TU'!D80)),"")</f>
      </c>
      <c r="D89" s="192">
        <f>IF($F89+$M89&lt;&gt;0,'CHUNG TU'!F80,"")</f>
      </c>
      <c r="E89" s="192">
        <f>IF($F89+$M89&lt;&gt;0,'CHUNG TU'!H80,"")</f>
      </c>
      <c r="F89" s="192">
        <f>IF(LEFT('CHUNG TU'!I80,3)='CPSXKD 622'!$H$7,'CHUNG TU'!$L80,0)</f>
        <v>0</v>
      </c>
      <c r="G89" s="192">
        <f>IF(AND($F89&lt;&gt;0,LEFT('CHUNG TU'!$J80,LEN('CPSXKD 622'!G$10))='CPSXKD 622'!G$10),'CPSXKD 622'!$F89,0)</f>
        <v>0</v>
      </c>
      <c r="H89" s="192">
        <f>IF(AND($F89&lt;&gt;0,LEFT('CHUNG TU'!$J80,LEN('CPSXKD 622'!H$10))='CPSXKD 622'!H$10),'CPSXKD 622'!$F89,0)</f>
        <v>0</v>
      </c>
      <c r="I89" s="192">
        <f>IF(AND($F89&lt;&gt;0,LEFT('CHUNG TU'!$J80,LEN('CPSXKD 622'!I$10))='CPSXKD 622'!I$10),'CPSXKD 622'!$F89,0)</f>
        <v>0</v>
      </c>
      <c r="J89" s="192">
        <f>IF(AND($F89&lt;&gt;0,LEFT('CHUNG TU'!$J80,LEN('CPSXKD 622'!J$10))='CPSXKD 622'!J$10),'CPSXKD 622'!$F89,0)</f>
        <v>0</v>
      </c>
      <c r="K89" s="192">
        <f t="shared" si="2"/>
        <v>0</v>
      </c>
      <c r="L89" s="201">
        <f>IF(F89&lt;&gt;0,'CHUNG TU'!J80,"")</f>
      </c>
      <c r="M89" s="192">
        <f>IF(LEFT('CHUNG TU'!J80,3)='CPSXKD 622'!$H$7,'CHUNG TU'!$L80,0)</f>
        <v>0</v>
      </c>
      <c r="N89" s="192">
        <f>IF(M89&lt;&gt;0,'CHUNG TU'!I80,"")</f>
      </c>
    </row>
    <row r="90" spans="2:14" ht="12.75">
      <c r="B90" s="192">
        <f>IF($F90+$M90&lt;&gt;0,'CHUNG TU'!A81,"")</f>
      </c>
      <c r="C90" s="192">
        <f>IF($F90+$M90&lt;&gt;0,IF('CHUNG TU'!B81&lt;&gt;"",'CHUNG TU'!B81,IF('CHUNG TU'!C81&lt;&gt;"",'CHUNG TU'!C81,'CHUNG TU'!D81)),"")</f>
      </c>
      <c r="D90" s="192">
        <f>IF($F90+$M90&lt;&gt;0,'CHUNG TU'!F81,"")</f>
      </c>
      <c r="E90" s="192">
        <f>IF($F90+$M90&lt;&gt;0,'CHUNG TU'!H81,"")</f>
      </c>
      <c r="F90" s="192">
        <f>IF(LEFT('CHUNG TU'!I81,3)='CPSXKD 622'!$H$7,'CHUNG TU'!$L81,0)</f>
        <v>0</v>
      </c>
      <c r="G90" s="192">
        <f>IF(AND($F90&lt;&gt;0,LEFT('CHUNG TU'!$J81,LEN('CPSXKD 622'!G$10))='CPSXKD 622'!G$10),'CPSXKD 622'!$F90,0)</f>
        <v>0</v>
      </c>
      <c r="H90" s="192">
        <f>IF(AND($F90&lt;&gt;0,LEFT('CHUNG TU'!$J81,LEN('CPSXKD 622'!H$10))='CPSXKD 622'!H$10),'CPSXKD 622'!$F90,0)</f>
        <v>0</v>
      </c>
      <c r="I90" s="192">
        <f>IF(AND($F90&lt;&gt;0,LEFT('CHUNG TU'!$J81,LEN('CPSXKD 622'!I$10))='CPSXKD 622'!I$10),'CPSXKD 622'!$F90,0)</f>
        <v>0</v>
      </c>
      <c r="J90" s="192">
        <f>IF(AND($F90&lt;&gt;0,LEFT('CHUNG TU'!$J81,LEN('CPSXKD 622'!J$10))='CPSXKD 622'!J$10),'CPSXKD 622'!$F90,0)</f>
        <v>0</v>
      </c>
      <c r="K90" s="192">
        <f t="shared" si="2"/>
        <v>0</v>
      </c>
      <c r="L90" s="201">
        <f>IF(F90&lt;&gt;0,'CHUNG TU'!J81,"")</f>
      </c>
      <c r="M90" s="192">
        <f>IF(LEFT('CHUNG TU'!J81,3)='CPSXKD 622'!$H$7,'CHUNG TU'!$L81,0)</f>
        <v>0</v>
      </c>
      <c r="N90" s="192">
        <f>IF(M90&lt;&gt;0,'CHUNG TU'!I81,"")</f>
      </c>
    </row>
    <row r="91" spans="2:14" ht="12.75">
      <c r="B91" s="192">
        <f>IF($F91+$M91&lt;&gt;0,'CHUNG TU'!A82,"")</f>
      </c>
      <c r="C91" s="192">
        <f>IF($F91+$M91&lt;&gt;0,IF('CHUNG TU'!B82&lt;&gt;"",'CHUNG TU'!B82,IF('CHUNG TU'!C82&lt;&gt;"",'CHUNG TU'!C82,'CHUNG TU'!D82)),"")</f>
      </c>
      <c r="D91" s="192">
        <f>IF($F91+$M91&lt;&gt;0,'CHUNG TU'!F82,"")</f>
      </c>
      <c r="E91" s="192">
        <f>IF($F91+$M91&lt;&gt;0,'CHUNG TU'!H82,"")</f>
      </c>
      <c r="F91" s="192">
        <f>IF(LEFT('CHUNG TU'!I82,3)='CPSXKD 622'!$H$7,'CHUNG TU'!$L82,0)</f>
        <v>0</v>
      </c>
      <c r="G91" s="192">
        <f>IF(AND($F91&lt;&gt;0,LEFT('CHUNG TU'!$J82,LEN('CPSXKD 622'!G$10))='CPSXKD 622'!G$10),'CPSXKD 622'!$F91,0)</f>
        <v>0</v>
      </c>
      <c r="H91" s="192">
        <f>IF(AND($F91&lt;&gt;0,LEFT('CHUNG TU'!$J82,LEN('CPSXKD 622'!H$10))='CPSXKD 622'!H$10),'CPSXKD 622'!$F91,0)</f>
        <v>0</v>
      </c>
      <c r="I91" s="192">
        <f>IF(AND($F91&lt;&gt;0,LEFT('CHUNG TU'!$J82,LEN('CPSXKD 622'!I$10))='CPSXKD 622'!I$10),'CPSXKD 622'!$F91,0)</f>
        <v>0</v>
      </c>
      <c r="J91" s="192">
        <f>IF(AND($F91&lt;&gt;0,LEFT('CHUNG TU'!$J82,LEN('CPSXKD 622'!J$10))='CPSXKD 622'!J$10),'CPSXKD 622'!$F91,0)</f>
        <v>0</v>
      </c>
      <c r="K91" s="192">
        <f t="shared" si="2"/>
        <v>0</v>
      </c>
      <c r="L91" s="201">
        <f>IF(F91&lt;&gt;0,'CHUNG TU'!J82,"")</f>
      </c>
      <c r="M91" s="192">
        <f>IF(LEFT('CHUNG TU'!J82,3)='CPSXKD 622'!$H$7,'CHUNG TU'!$L82,0)</f>
        <v>0</v>
      </c>
      <c r="N91" s="192">
        <f>IF(M91&lt;&gt;0,'CHUNG TU'!I82,"")</f>
      </c>
    </row>
    <row r="92" spans="2:14" ht="12.75">
      <c r="B92" s="192">
        <f>IF($F92+$M92&lt;&gt;0,'CHUNG TU'!A83,"")</f>
      </c>
      <c r="C92" s="192">
        <f>IF($F92+$M92&lt;&gt;0,IF('CHUNG TU'!B83&lt;&gt;"",'CHUNG TU'!B83,IF('CHUNG TU'!C83&lt;&gt;"",'CHUNG TU'!C83,'CHUNG TU'!D83)),"")</f>
      </c>
      <c r="D92" s="192">
        <f>IF($F92+$M92&lt;&gt;0,'CHUNG TU'!F83,"")</f>
      </c>
      <c r="E92" s="192">
        <f>IF($F92+$M92&lt;&gt;0,'CHUNG TU'!H83,"")</f>
      </c>
      <c r="F92" s="192">
        <f>IF(LEFT('CHUNG TU'!I83,3)='CPSXKD 622'!$H$7,'CHUNG TU'!$L83,0)</f>
        <v>0</v>
      </c>
      <c r="G92" s="192">
        <f>IF(AND($F92&lt;&gt;0,LEFT('CHUNG TU'!$J83,LEN('CPSXKD 622'!G$10))='CPSXKD 622'!G$10),'CPSXKD 622'!$F92,0)</f>
        <v>0</v>
      </c>
      <c r="H92" s="192">
        <f>IF(AND($F92&lt;&gt;0,LEFT('CHUNG TU'!$J83,LEN('CPSXKD 622'!H$10))='CPSXKD 622'!H$10),'CPSXKD 622'!$F92,0)</f>
        <v>0</v>
      </c>
      <c r="I92" s="192">
        <f>IF(AND($F92&lt;&gt;0,LEFT('CHUNG TU'!$J83,LEN('CPSXKD 622'!I$10))='CPSXKD 622'!I$10),'CPSXKD 622'!$F92,0)</f>
        <v>0</v>
      </c>
      <c r="J92" s="192">
        <f>IF(AND($F92&lt;&gt;0,LEFT('CHUNG TU'!$J83,LEN('CPSXKD 622'!J$10))='CPSXKD 622'!J$10),'CPSXKD 622'!$F92,0)</f>
        <v>0</v>
      </c>
      <c r="K92" s="192">
        <f t="shared" si="2"/>
        <v>0</v>
      </c>
      <c r="L92" s="201">
        <f>IF(F92&lt;&gt;0,'CHUNG TU'!J83,"")</f>
      </c>
      <c r="M92" s="192">
        <f>IF(LEFT('CHUNG TU'!J83,3)='CPSXKD 622'!$H$7,'CHUNG TU'!$L83,0)</f>
        <v>0</v>
      </c>
      <c r="N92" s="192">
        <f>IF(M92&lt;&gt;0,'CHUNG TU'!I83,"")</f>
      </c>
    </row>
    <row r="93" spans="2:14" ht="12.75">
      <c r="B93" s="192">
        <f>IF($F93+$M93&lt;&gt;0,'CHUNG TU'!A84,"")</f>
      </c>
      <c r="C93" s="192">
        <f>IF($F93+$M93&lt;&gt;0,IF('CHUNG TU'!B84&lt;&gt;"",'CHUNG TU'!B84,IF('CHUNG TU'!C84&lt;&gt;"",'CHUNG TU'!C84,'CHUNG TU'!D84)),"")</f>
      </c>
      <c r="D93" s="192">
        <f>IF($F93+$M93&lt;&gt;0,'CHUNG TU'!F84,"")</f>
      </c>
      <c r="E93" s="192">
        <f>IF($F93+$M93&lt;&gt;0,'CHUNG TU'!H84,"")</f>
      </c>
      <c r="F93" s="192">
        <f>IF(LEFT('CHUNG TU'!I84,3)='CPSXKD 622'!$H$7,'CHUNG TU'!$L84,0)</f>
        <v>0</v>
      </c>
      <c r="G93" s="192">
        <f>IF(AND($F93&lt;&gt;0,LEFT('CHUNG TU'!$J84,LEN('CPSXKD 622'!G$10))='CPSXKD 622'!G$10),'CPSXKD 622'!$F93,0)</f>
        <v>0</v>
      </c>
      <c r="H93" s="192">
        <f>IF(AND($F93&lt;&gt;0,LEFT('CHUNG TU'!$J84,LEN('CPSXKD 622'!H$10))='CPSXKD 622'!H$10),'CPSXKD 622'!$F93,0)</f>
        <v>0</v>
      </c>
      <c r="I93" s="192">
        <f>IF(AND($F93&lt;&gt;0,LEFT('CHUNG TU'!$J84,LEN('CPSXKD 622'!I$10))='CPSXKD 622'!I$10),'CPSXKD 622'!$F93,0)</f>
        <v>0</v>
      </c>
      <c r="J93" s="192">
        <f>IF(AND($F93&lt;&gt;0,LEFT('CHUNG TU'!$J84,LEN('CPSXKD 622'!J$10))='CPSXKD 622'!J$10),'CPSXKD 622'!$F93,0)</f>
        <v>0</v>
      </c>
      <c r="K93" s="192">
        <f t="shared" si="2"/>
        <v>0</v>
      </c>
      <c r="L93" s="201">
        <f>IF(F93&lt;&gt;0,'CHUNG TU'!J84,"")</f>
      </c>
      <c r="M93" s="192">
        <f>IF(LEFT('CHUNG TU'!J84,3)='CPSXKD 622'!$H$7,'CHUNG TU'!$L84,0)</f>
        <v>0</v>
      </c>
      <c r="N93" s="192">
        <f>IF(M93&lt;&gt;0,'CHUNG TU'!I84,"")</f>
      </c>
    </row>
    <row r="94" spans="2:14" ht="12.75">
      <c r="B94" s="192">
        <f>IF($F94+$M94&lt;&gt;0,'CHUNG TU'!A85,"")</f>
      </c>
      <c r="C94" s="192">
        <f>IF($F94+$M94&lt;&gt;0,IF('CHUNG TU'!B85&lt;&gt;"",'CHUNG TU'!B85,IF('CHUNG TU'!C85&lt;&gt;"",'CHUNG TU'!C85,'CHUNG TU'!D85)),"")</f>
      </c>
      <c r="D94" s="192">
        <f>IF($F94+$M94&lt;&gt;0,'CHUNG TU'!F85,"")</f>
      </c>
      <c r="E94" s="192">
        <f>IF($F94+$M94&lt;&gt;0,'CHUNG TU'!H85,"")</f>
      </c>
      <c r="F94" s="192">
        <f>IF(LEFT('CHUNG TU'!I85,3)='CPSXKD 622'!$H$7,'CHUNG TU'!$L85,0)</f>
        <v>0</v>
      </c>
      <c r="G94" s="192">
        <f>IF(AND($F94&lt;&gt;0,LEFT('CHUNG TU'!$J85,LEN('CPSXKD 622'!G$10))='CPSXKD 622'!G$10),'CPSXKD 622'!$F94,0)</f>
        <v>0</v>
      </c>
      <c r="H94" s="192">
        <f>IF(AND($F94&lt;&gt;0,LEFT('CHUNG TU'!$J85,LEN('CPSXKD 622'!H$10))='CPSXKD 622'!H$10),'CPSXKD 622'!$F94,0)</f>
        <v>0</v>
      </c>
      <c r="I94" s="192">
        <f>IF(AND($F94&lt;&gt;0,LEFT('CHUNG TU'!$J85,LEN('CPSXKD 622'!I$10))='CPSXKD 622'!I$10),'CPSXKD 622'!$F94,0)</f>
        <v>0</v>
      </c>
      <c r="J94" s="192">
        <f>IF(AND($F94&lt;&gt;0,LEFT('CHUNG TU'!$J85,LEN('CPSXKD 622'!J$10))='CPSXKD 622'!J$10),'CPSXKD 622'!$F94,0)</f>
        <v>0</v>
      </c>
      <c r="K94" s="192">
        <f t="shared" si="2"/>
        <v>0</v>
      </c>
      <c r="L94" s="201">
        <f>IF(F94&lt;&gt;0,'CHUNG TU'!J85,"")</f>
      </c>
      <c r="M94" s="192">
        <f>IF(LEFT('CHUNG TU'!J85,3)='CPSXKD 622'!$H$7,'CHUNG TU'!$L85,0)</f>
        <v>0</v>
      </c>
      <c r="N94" s="192">
        <f>IF(M94&lt;&gt;0,'CHUNG TU'!I85,"")</f>
      </c>
    </row>
    <row r="95" spans="2:14" ht="12.75">
      <c r="B95" s="192">
        <f>IF($F95+$M95&lt;&gt;0,'CHUNG TU'!A86,"")</f>
      </c>
      <c r="C95" s="192">
        <f>IF($F95+$M95&lt;&gt;0,IF('CHUNG TU'!B86&lt;&gt;"",'CHUNG TU'!B86,IF('CHUNG TU'!C86&lt;&gt;"",'CHUNG TU'!C86,'CHUNG TU'!D86)),"")</f>
      </c>
      <c r="D95" s="192">
        <f>IF($F95+$M95&lt;&gt;0,'CHUNG TU'!F86,"")</f>
      </c>
      <c r="E95" s="192">
        <f>IF($F95+$M95&lt;&gt;0,'CHUNG TU'!H86,"")</f>
      </c>
      <c r="F95" s="192">
        <f>IF(LEFT('CHUNG TU'!I86,3)='CPSXKD 622'!$H$7,'CHUNG TU'!$L86,0)</f>
        <v>0</v>
      </c>
      <c r="G95" s="192">
        <f>IF(AND($F95&lt;&gt;0,LEFT('CHUNG TU'!$J86,LEN('CPSXKD 622'!G$10))='CPSXKD 622'!G$10),'CPSXKD 622'!$F95,0)</f>
        <v>0</v>
      </c>
      <c r="H95" s="192">
        <f>IF(AND($F95&lt;&gt;0,LEFT('CHUNG TU'!$J86,LEN('CPSXKD 622'!H$10))='CPSXKD 622'!H$10),'CPSXKD 622'!$F95,0)</f>
        <v>0</v>
      </c>
      <c r="I95" s="192">
        <f>IF(AND($F95&lt;&gt;0,LEFT('CHUNG TU'!$J86,LEN('CPSXKD 622'!I$10))='CPSXKD 622'!I$10),'CPSXKD 622'!$F95,0)</f>
        <v>0</v>
      </c>
      <c r="J95" s="192">
        <f>IF(AND($F95&lt;&gt;0,LEFT('CHUNG TU'!$J86,LEN('CPSXKD 622'!J$10))='CPSXKD 622'!J$10),'CPSXKD 622'!$F95,0)</f>
        <v>0</v>
      </c>
      <c r="K95" s="192">
        <f t="shared" si="2"/>
        <v>0</v>
      </c>
      <c r="L95" s="201">
        <f>IF(F95&lt;&gt;0,'CHUNG TU'!J86,"")</f>
      </c>
      <c r="M95" s="192">
        <f>IF(LEFT('CHUNG TU'!J86,3)='CPSXKD 622'!$H$7,'CHUNG TU'!$L86,0)</f>
        <v>0</v>
      </c>
      <c r="N95" s="192">
        <f>IF(M95&lt;&gt;0,'CHUNG TU'!I86,"")</f>
      </c>
    </row>
    <row r="96" spans="2:14" ht="12.75">
      <c r="B96" s="192">
        <f>IF($F96+$M96&lt;&gt;0,'CHUNG TU'!A87,"")</f>
      </c>
      <c r="C96" s="192">
        <f>IF($F96+$M96&lt;&gt;0,IF('CHUNG TU'!B87&lt;&gt;"",'CHUNG TU'!B87,IF('CHUNG TU'!C87&lt;&gt;"",'CHUNG TU'!C87,'CHUNG TU'!D87)),"")</f>
      </c>
      <c r="D96" s="192">
        <f>IF($F96+$M96&lt;&gt;0,'CHUNG TU'!F87,"")</f>
      </c>
      <c r="E96" s="192">
        <f>IF($F96+$M96&lt;&gt;0,'CHUNG TU'!H87,"")</f>
      </c>
      <c r="F96" s="192">
        <f>IF(LEFT('CHUNG TU'!I87,3)='CPSXKD 622'!$H$7,'CHUNG TU'!$L87,0)</f>
        <v>0</v>
      </c>
      <c r="G96" s="192">
        <f>IF(AND($F96&lt;&gt;0,LEFT('CHUNG TU'!$J87,LEN('CPSXKD 622'!G$10))='CPSXKD 622'!G$10),'CPSXKD 622'!$F96,0)</f>
        <v>0</v>
      </c>
      <c r="H96" s="192">
        <f>IF(AND($F96&lt;&gt;0,LEFT('CHUNG TU'!$J87,LEN('CPSXKD 622'!H$10))='CPSXKD 622'!H$10),'CPSXKD 622'!$F96,0)</f>
        <v>0</v>
      </c>
      <c r="I96" s="192">
        <f>IF(AND($F96&lt;&gt;0,LEFT('CHUNG TU'!$J87,LEN('CPSXKD 622'!I$10))='CPSXKD 622'!I$10),'CPSXKD 622'!$F96,0)</f>
        <v>0</v>
      </c>
      <c r="J96" s="192">
        <f>IF(AND($F96&lt;&gt;0,LEFT('CHUNG TU'!$J87,LEN('CPSXKD 622'!J$10))='CPSXKD 622'!J$10),'CPSXKD 622'!$F96,0)</f>
        <v>0</v>
      </c>
      <c r="K96" s="192">
        <f t="shared" si="2"/>
        <v>0</v>
      </c>
      <c r="L96" s="201">
        <f>IF(F96&lt;&gt;0,'CHUNG TU'!J87,"")</f>
      </c>
      <c r="M96" s="192">
        <f>IF(LEFT('CHUNG TU'!J87,3)='CPSXKD 622'!$H$7,'CHUNG TU'!$L87,0)</f>
        <v>0</v>
      </c>
      <c r="N96" s="192">
        <f>IF(M96&lt;&gt;0,'CHUNG TU'!I87,"")</f>
      </c>
    </row>
    <row r="97" spans="2:14" ht="12.75">
      <c r="B97" s="192">
        <f>IF($F97+$M97&lt;&gt;0,'CHUNG TU'!A88,"")</f>
      </c>
      <c r="C97" s="192">
        <f>IF($F97+$M97&lt;&gt;0,IF('CHUNG TU'!B88&lt;&gt;"",'CHUNG TU'!B88,IF('CHUNG TU'!C88&lt;&gt;"",'CHUNG TU'!C88,'CHUNG TU'!D88)),"")</f>
      </c>
      <c r="D97" s="192">
        <f>IF($F97+$M97&lt;&gt;0,'CHUNG TU'!F88,"")</f>
      </c>
      <c r="E97" s="192">
        <f>IF($F97+$M97&lt;&gt;0,'CHUNG TU'!H88,"")</f>
      </c>
      <c r="F97" s="192">
        <f>IF(LEFT('CHUNG TU'!I88,3)='CPSXKD 622'!$H$7,'CHUNG TU'!$L88,0)</f>
        <v>0</v>
      </c>
      <c r="G97" s="192">
        <f>IF(AND($F97&lt;&gt;0,LEFT('CHUNG TU'!$J88,LEN('CPSXKD 622'!G$10))='CPSXKD 622'!G$10),'CPSXKD 622'!$F97,0)</f>
        <v>0</v>
      </c>
      <c r="H97" s="192">
        <f>IF(AND($F97&lt;&gt;0,LEFT('CHUNG TU'!$J88,LEN('CPSXKD 622'!H$10))='CPSXKD 622'!H$10),'CPSXKD 622'!$F97,0)</f>
        <v>0</v>
      </c>
      <c r="I97" s="192">
        <f>IF(AND($F97&lt;&gt;0,LEFT('CHUNG TU'!$J88,LEN('CPSXKD 622'!I$10))='CPSXKD 622'!I$10),'CPSXKD 622'!$F97,0)</f>
        <v>0</v>
      </c>
      <c r="J97" s="192">
        <f>IF(AND($F97&lt;&gt;0,LEFT('CHUNG TU'!$J88,LEN('CPSXKD 622'!J$10))='CPSXKD 622'!J$10),'CPSXKD 622'!$F97,0)</f>
        <v>0</v>
      </c>
      <c r="K97" s="192">
        <f t="shared" si="2"/>
        <v>0</v>
      </c>
      <c r="L97" s="201">
        <f>IF(F97&lt;&gt;0,'CHUNG TU'!J88,"")</f>
      </c>
      <c r="M97" s="192">
        <f>IF(LEFT('CHUNG TU'!J88,3)='CPSXKD 622'!$H$7,'CHUNG TU'!$L88,0)</f>
        <v>0</v>
      </c>
      <c r="N97" s="192">
        <f>IF(M97&lt;&gt;0,'CHUNG TU'!I88,"")</f>
      </c>
    </row>
    <row r="98" spans="2:14" ht="12.75">
      <c r="B98" s="192">
        <f>IF($F98+$M98&lt;&gt;0,'CHUNG TU'!A89,"")</f>
      </c>
      <c r="C98" s="192">
        <f>IF($F98+$M98&lt;&gt;0,IF('CHUNG TU'!B89&lt;&gt;"",'CHUNG TU'!B89,IF('CHUNG TU'!C89&lt;&gt;"",'CHUNG TU'!C89,'CHUNG TU'!D89)),"")</f>
      </c>
      <c r="D98" s="192">
        <f>IF($F98+$M98&lt;&gt;0,'CHUNG TU'!F89,"")</f>
      </c>
      <c r="E98" s="192">
        <f>IF($F98+$M98&lt;&gt;0,'CHUNG TU'!H89,"")</f>
      </c>
      <c r="F98" s="192">
        <f>IF(LEFT('CHUNG TU'!I89,3)='CPSXKD 622'!$H$7,'CHUNG TU'!$L89,0)</f>
        <v>0</v>
      </c>
      <c r="G98" s="192">
        <f>IF(AND($F98&lt;&gt;0,LEFT('CHUNG TU'!$J89,LEN('CPSXKD 622'!G$10))='CPSXKD 622'!G$10),'CPSXKD 622'!$F98,0)</f>
        <v>0</v>
      </c>
      <c r="H98" s="192">
        <f>IF(AND($F98&lt;&gt;0,LEFT('CHUNG TU'!$J89,LEN('CPSXKD 622'!H$10))='CPSXKD 622'!H$10),'CPSXKD 622'!$F98,0)</f>
        <v>0</v>
      </c>
      <c r="I98" s="192">
        <f>IF(AND($F98&lt;&gt;0,LEFT('CHUNG TU'!$J89,LEN('CPSXKD 622'!I$10))='CPSXKD 622'!I$10),'CPSXKD 622'!$F98,0)</f>
        <v>0</v>
      </c>
      <c r="J98" s="192">
        <f>IF(AND($F98&lt;&gt;0,LEFT('CHUNG TU'!$J89,LEN('CPSXKD 622'!J$10))='CPSXKD 622'!J$10),'CPSXKD 622'!$F98,0)</f>
        <v>0</v>
      </c>
      <c r="K98" s="192">
        <f t="shared" si="2"/>
        <v>0</v>
      </c>
      <c r="L98" s="201">
        <f>IF(F98&lt;&gt;0,'CHUNG TU'!J89,"")</f>
      </c>
      <c r="M98" s="192">
        <f>IF(LEFT('CHUNG TU'!J89,3)='CPSXKD 622'!$H$7,'CHUNG TU'!$L89,0)</f>
        <v>0</v>
      </c>
      <c r="N98" s="192">
        <f>IF(M98&lt;&gt;0,'CHUNG TU'!I89,"")</f>
      </c>
    </row>
    <row r="99" spans="2:14" ht="12.75">
      <c r="B99" s="192">
        <f>IF($F99+$M99&lt;&gt;0,'CHUNG TU'!A90,"")</f>
      </c>
      <c r="C99" s="192">
        <f>IF($F99+$M99&lt;&gt;0,IF('CHUNG TU'!B90&lt;&gt;"",'CHUNG TU'!B90,IF('CHUNG TU'!C90&lt;&gt;"",'CHUNG TU'!C90,'CHUNG TU'!D90)),"")</f>
      </c>
      <c r="D99" s="192">
        <f>IF($F99+$M99&lt;&gt;0,'CHUNG TU'!F90,"")</f>
      </c>
      <c r="E99" s="192">
        <f>IF($F99+$M99&lt;&gt;0,'CHUNG TU'!H90,"")</f>
      </c>
      <c r="F99" s="192">
        <f>IF(LEFT('CHUNG TU'!I90,3)='CPSXKD 622'!$H$7,'CHUNG TU'!$L90,0)</f>
        <v>0</v>
      </c>
      <c r="G99" s="192">
        <f>IF(AND($F99&lt;&gt;0,LEFT('CHUNG TU'!$J90,LEN('CPSXKD 622'!G$10))='CPSXKD 622'!G$10),'CPSXKD 622'!$F99,0)</f>
        <v>0</v>
      </c>
      <c r="H99" s="192">
        <f>IF(AND($F99&lt;&gt;0,LEFT('CHUNG TU'!$J90,LEN('CPSXKD 622'!H$10))='CPSXKD 622'!H$10),'CPSXKD 622'!$F99,0)</f>
        <v>0</v>
      </c>
      <c r="I99" s="192">
        <f>IF(AND($F99&lt;&gt;0,LEFT('CHUNG TU'!$J90,LEN('CPSXKD 622'!I$10))='CPSXKD 622'!I$10),'CPSXKD 622'!$F99,0)</f>
        <v>0</v>
      </c>
      <c r="J99" s="192">
        <f>IF(AND($F99&lt;&gt;0,LEFT('CHUNG TU'!$J90,LEN('CPSXKD 622'!J$10))='CPSXKD 622'!J$10),'CPSXKD 622'!$F99,0)</f>
        <v>0</v>
      </c>
      <c r="K99" s="192">
        <f t="shared" si="2"/>
        <v>0</v>
      </c>
      <c r="L99" s="201">
        <f>IF(F99&lt;&gt;0,'CHUNG TU'!J90,"")</f>
      </c>
      <c r="M99" s="192">
        <f>IF(LEFT('CHUNG TU'!J90,3)='CPSXKD 622'!$H$7,'CHUNG TU'!$L90,0)</f>
        <v>0</v>
      </c>
      <c r="N99" s="192">
        <f>IF(M99&lt;&gt;0,'CHUNG TU'!I90,"")</f>
      </c>
    </row>
    <row r="100" spans="2:14" ht="12.75">
      <c r="B100" s="192">
        <f>IF($F100+$M100&lt;&gt;0,'CHUNG TU'!A91,"")</f>
      </c>
      <c r="C100" s="192">
        <f>IF($F100+$M100&lt;&gt;0,IF('CHUNG TU'!B91&lt;&gt;"",'CHUNG TU'!B91,IF('CHUNG TU'!C91&lt;&gt;"",'CHUNG TU'!C91,'CHUNG TU'!D91)),"")</f>
      </c>
      <c r="D100" s="192">
        <f>IF($F100+$M100&lt;&gt;0,'CHUNG TU'!F91,"")</f>
      </c>
      <c r="E100" s="192">
        <f>IF($F100+$M100&lt;&gt;0,'CHUNG TU'!H91,"")</f>
      </c>
      <c r="F100" s="192">
        <f>IF(LEFT('CHUNG TU'!I91,3)='CPSXKD 622'!$H$7,'CHUNG TU'!$L91,0)</f>
        <v>0</v>
      </c>
      <c r="G100" s="192">
        <f>IF(AND($F100&lt;&gt;0,LEFT('CHUNG TU'!$J91,LEN('CPSXKD 622'!G$10))='CPSXKD 622'!G$10),'CPSXKD 622'!$F100,0)</f>
        <v>0</v>
      </c>
      <c r="H100" s="192">
        <f>IF(AND($F100&lt;&gt;0,LEFT('CHUNG TU'!$J91,LEN('CPSXKD 622'!H$10))='CPSXKD 622'!H$10),'CPSXKD 622'!$F100,0)</f>
        <v>0</v>
      </c>
      <c r="I100" s="192">
        <f>IF(AND($F100&lt;&gt;0,LEFT('CHUNG TU'!$J91,LEN('CPSXKD 622'!I$10))='CPSXKD 622'!I$10),'CPSXKD 622'!$F100,0)</f>
        <v>0</v>
      </c>
      <c r="J100" s="192">
        <f>IF(AND($F100&lt;&gt;0,LEFT('CHUNG TU'!$J91,LEN('CPSXKD 622'!J$10))='CPSXKD 622'!J$10),'CPSXKD 622'!$F100,0)</f>
        <v>0</v>
      </c>
      <c r="K100" s="192">
        <f t="shared" si="2"/>
        <v>0</v>
      </c>
      <c r="L100" s="201">
        <f>IF(F100&lt;&gt;0,'CHUNG TU'!J91,"")</f>
      </c>
      <c r="M100" s="192">
        <f>IF(LEFT('CHUNG TU'!J91,3)='CPSXKD 622'!$H$7,'CHUNG TU'!$L91,0)</f>
        <v>0</v>
      </c>
      <c r="N100" s="192">
        <f>IF(M100&lt;&gt;0,'CHUNG TU'!I91,"")</f>
      </c>
    </row>
    <row r="101" spans="2:14" ht="12.75">
      <c r="B101" s="192">
        <f>IF($F101+$M101&lt;&gt;0,'CHUNG TU'!A92,"")</f>
      </c>
      <c r="C101" s="192">
        <f>IF($F101+$M101&lt;&gt;0,IF('CHUNG TU'!B92&lt;&gt;"",'CHUNG TU'!B92,IF('CHUNG TU'!C92&lt;&gt;"",'CHUNG TU'!C92,'CHUNG TU'!D92)),"")</f>
      </c>
      <c r="D101" s="192">
        <f>IF($F101+$M101&lt;&gt;0,'CHUNG TU'!F92,"")</f>
      </c>
      <c r="E101" s="192">
        <f>IF($F101+$M101&lt;&gt;0,'CHUNG TU'!H92,"")</f>
      </c>
      <c r="F101" s="192">
        <f>IF(LEFT('CHUNG TU'!I92,3)='CPSXKD 622'!$H$7,'CHUNG TU'!$L92,0)</f>
        <v>0</v>
      </c>
      <c r="G101" s="192">
        <f>IF(AND($F101&lt;&gt;0,LEFT('CHUNG TU'!$J92,LEN('CPSXKD 622'!G$10))='CPSXKD 622'!G$10),'CPSXKD 622'!$F101,0)</f>
        <v>0</v>
      </c>
      <c r="H101" s="192">
        <f>IF(AND($F101&lt;&gt;0,LEFT('CHUNG TU'!$J92,LEN('CPSXKD 622'!H$10))='CPSXKD 622'!H$10),'CPSXKD 622'!$F101,0)</f>
        <v>0</v>
      </c>
      <c r="I101" s="192">
        <f>IF(AND($F101&lt;&gt;0,LEFT('CHUNG TU'!$J92,LEN('CPSXKD 622'!I$10))='CPSXKD 622'!I$10),'CPSXKD 622'!$F101,0)</f>
        <v>0</v>
      </c>
      <c r="J101" s="192">
        <f>IF(AND($F101&lt;&gt;0,LEFT('CHUNG TU'!$J92,LEN('CPSXKD 622'!J$10))='CPSXKD 622'!J$10),'CPSXKD 622'!$F101,0)</f>
        <v>0</v>
      </c>
      <c r="K101" s="192">
        <f t="shared" si="2"/>
        <v>0</v>
      </c>
      <c r="L101" s="201">
        <f>IF(F101&lt;&gt;0,'CHUNG TU'!J92,"")</f>
      </c>
      <c r="M101" s="192">
        <f>IF(LEFT('CHUNG TU'!J92,3)='CPSXKD 622'!$H$7,'CHUNG TU'!$L92,0)</f>
        <v>0</v>
      </c>
      <c r="N101" s="192">
        <f>IF(M101&lt;&gt;0,'CHUNG TU'!I92,"")</f>
      </c>
    </row>
    <row r="102" spans="2:14" ht="12.75">
      <c r="B102" s="192">
        <f>IF($F102+$M102&lt;&gt;0,'CHUNG TU'!A93,"")</f>
      </c>
      <c r="C102" s="192">
        <f>IF($F102+$M102&lt;&gt;0,IF('CHUNG TU'!B93&lt;&gt;"",'CHUNG TU'!B93,IF('CHUNG TU'!C93&lt;&gt;"",'CHUNG TU'!C93,'CHUNG TU'!D93)),"")</f>
      </c>
      <c r="D102" s="192">
        <f>IF($F102+$M102&lt;&gt;0,'CHUNG TU'!F93,"")</f>
      </c>
      <c r="E102" s="192">
        <f>IF($F102+$M102&lt;&gt;0,'CHUNG TU'!H93,"")</f>
      </c>
      <c r="F102" s="192">
        <f>IF(LEFT('CHUNG TU'!I93,3)='CPSXKD 622'!$H$7,'CHUNG TU'!$L93,0)</f>
        <v>0</v>
      </c>
      <c r="G102" s="192">
        <f>IF(AND($F102&lt;&gt;0,LEFT('CHUNG TU'!$J93,LEN('CPSXKD 622'!G$10))='CPSXKD 622'!G$10),'CPSXKD 622'!$F102,0)</f>
        <v>0</v>
      </c>
      <c r="H102" s="192">
        <f>IF(AND($F102&lt;&gt;0,LEFT('CHUNG TU'!$J93,LEN('CPSXKD 622'!H$10))='CPSXKD 622'!H$10),'CPSXKD 622'!$F102,0)</f>
        <v>0</v>
      </c>
      <c r="I102" s="192">
        <f>IF(AND($F102&lt;&gt;0,LEFT('CHUNG TU'!$J93,LEN('CPSXKD 622'!I$10))='CPSXKD 622'!I$10),'CPSXKD 622'!$F102,0)</f>
        <v>0</v>
      </c>
      <c r="J102" s="192">
        <f>IF(AND($F102&lt;&gt;0,LEFT('CHUNG TU'!$J93,LEN('CPSXKD 622'!J$10))='CPSXKD 622'!J$10),'CPSXKD 622'!$F102,0)</f>
        <v>0</v>
      </c>
      <c r="K102" s="192">
        <f t="shared" si="2"/>
        <v>0</v>
      </c>
      <c r="L102" s="201">
        <f>IF(F102&lt;&gt;0,'CHUNG TU'!J93,"")</f>
      </c>
      <c r="M102" s="192">
        <f>IF(LEFT('CHUNG TU'!J93,3)='CPSXKD 622'!$H$7,'CHUNG TU'!$L93,0)</f>
        <v>0</v>
      </c>
      <c r="N102" s="192">
        <f>IF(M102&lt;&gt;0,'CHUNG TU'!I93,"")</f>
      </c>
    </row>
    <row r="103" spans="2:14" ht="12.75">
      <c r="B103" s="192">
        <f>IF($F103+$M103&lt;&gt;0,'CHUNG TU'!A94,"")</f>
      </c>
      <c r="C103" s="192">
        <f>IF($F103+$M103&lt;&gt;0,IF('CHUNG TU'!B94&lt;&gt;"",'CHUNG TU'!B94,IF('CHUNG TU'!C94&lt;&gt;"",'CHUNG TU'!C94,'CHUNG TU'!D94)),"")</f>
      </c>
      <c r="D103" s="192">
        <f>IF($F103+$M103&lt;&gt;0,'CHUNG TU'!F94,"")</f>
      </c>
      <c r="E103" s="192">
        <f>IF($F103+$M103&lt;&gt;0,'CHUNG TU'!H94,"")</f>
      </c>
      <c r="F103" s="192">
        <f>IF(LEFT('CHUNG TU'!I94,3)='CPSXKD 622'!$H$7,'CHUNG TU'!$L94,0)</f>
        <v>0</v>
      </c>
      <c r="G103" s="192">
        <f>IF(AND($F103&lt;&gt;0,LEFT('CHUNG TU'!$J94,LEN('CPSXKD 622'!G$10))='CPSXKD 622'!G$10),'CPSXKD 622'!$F103,0)</f>
        <v>0</v>
      </c>
      <c r="H103" s="192">
        <f>IF(AND($F103&lt;&gt;0,LEFT('CHUNG TU'!$J94,LEN('CPSXKD 622'!H$10))='CPSXKD 622'!H$10),'CPSXKD 622'!$F103,0)</f>
        <v>0</v>
      </c>
      <c r="I103" s="192">
        <f>IF(AND($F103&lt;&gt;0,LEFT('CHUNG TU'!$J94,LEN('CPSXKD 622'!I$10))='CPSXKD 622'!I$10),'CPSXKD 622'!$F103,0)</f>
        <v>0</v>
      </c>
      <c r="J103" s="192">
        <f>IF(AND($F103&lt;&gt;0,LEFT('CHUNG TU'!$J94,LEN('CPSXKD 622'!J$10))='CPSXKD 622'!J$10),'CPSXKD 622'!$F103,0)</f>
        <v>0</v>
      </c>
      <c r="K103" s="192">
        <f t="shared" si="2"/>
        <v>0</v>
      </c>
      <c r="L103" s="201">
        <f>IF(F103&lt;&gt;0,'CHUNG TU'!J94,"")</f>
      </c>
      <c r="M103" s="192">
        <f>IF(LEFT('CHUNG TU'!J94,3)='CPSXKD 622'!$H$7,'CHUNG TU'!$L94,0)</f>
        <v>0</v>
      </c>
      <c r="N103" s="192">
        <f>IF(M103&lt;&gt;0,'CHUNG TU'!I94,"")</f>
      </c>
    </row>
    <row r="104" spans="2:14" ht="12.75">
      <c r="B104" s="192">
        <f>IF($F104+$M104&lt;&gt;0,'CHUNG TU'!A95,"")</f>
      </c>
      <c r="C104" s="192">
        <f>IF($F104+$M104&lt;&gt;0,IF('CHUNG TU'!B95&lt;&gt;"",'CHUNG TU'!B95,IF('CHUNG TU'!C95&lt;&gt;"",'CHUNG TU'!C95,'CHUNG TU'!D95)),"")</f>
      </c>
      <c r="D104" s="192">
        <f>IF($F104+$M104&lt;&gt;0,'CHUNG TU'!F95,"")</f>
      </c>
      <c r="E104" s="192">
        <f>IF($F104+$M104&lt;&gt;0,'CHUNG TU'!H95,"")</f>
      </c>
      <c r="F104" s="192">
        <f>IF(LEFT('CHUNG TU'!I95,3)='CPSXKD 622'!$H$7,'CHUNG TU'!$L95,0)</f>
        <v>0</v>
      </c>
      <c r="G104" s="192">
        <f>IF(AND($F104&lt;&gt;0,LEFT('CHUNG TU'!$J95,LEN('CPSXKD 622'!G$10))='CPSXKD 622'!G$10),'CPSXKD 622'!$F104,0)</f>
        <v>0</v>
      </c>
      <c r="H104" s="192">
        <f>IF(AND($F104&lt;&gt;0,LEFT('CHUNG TU'!$J95,LEN('CPSXKD 622'!H$10))='CPSXKD 622'!H$10),'CPSXKD 622'!$F104,0)</f>
        <v>0</v>
      </c>
      <c r="I104" s="192">
        <f>IF(AND($F104&lt;&gt;0,LEFT('CHUNG TU'!$J95,LEN('CPSXKD 622'!I$10))='CPSXKD 622'!I$10),'CPSXKD 622'!$F104,0)</f>
        <v>0</v>
      </c>
      <c r="J104" s="192">
        <f>IF(AND($F104&lt;&gt;0,LEFT('CHUNG TU'!$J95,LEN('CPSXKD 622'!J$10))='CPSXKD 622'!J$10),'CPSXKD 622'!$F104,0)</f>
        <v>0</v>
      </c>
      <c r="K104" s="192">
        <f t="shared" si="2"/>
        <v>0</v>
      </c>
      <c r="L104" s="201">
        <f>IF(F104&lt;&gt;0,'CHUNG TU'!J95,"")</f>
      </c>
      <c r="M104" s="192">
        <f>IF(LEFT('CHUNG TU'!J95,3)='CPSXKD 622'!$H$7,'CHUNG TU'!$L95,0)</f>
        <v>0</v>
      </c>
      <c r="N104" s="192">
        <f>IF(M104&lt;&gt;0,'CHUNG TU'!I95,"")</f>
      </c>
    </row>
    <row r="105" spans="2:14" ht="12.75">
      <c r="B105" s="192">
        <f>IF($F105+$M105&lt;&gt;0,'CHUNG TU'!A96,"")</f>
      </c>
      <c r="C105" s="192">
        <f>IF($F105+$M105&lt;&gt;0,IF('CHUNG TU'!B96&lt;&gt;"",'CHUNG TU'!B96,IF('CHUNG TU'!C96&lt;&gt;"",'CHUNG TU'!C96,'CHUNG TU'!D96)),"")</f>
      </c>
      <c r="D105" s="192">
        <f>IF($F105+$M105&lt;&gt;0,'CHUNG TU'!F96,"")</f>
      </c>
      <c r="E105" s="192">
        <f>IF($F105+$M105&lt;&gt;0,'CHUNG TU'!H96,"")</f>
      </c>
      <c r="F105" s="192">
        <f>IF(LEFT('CHUNG TU'!I96,3)='CPSXKD 622'!$H$7,'CHUNG TU'!$L96,0)</f>
        <v>0</v>
      </c>
      <c r="G105" s="192">
        <f>IF(AND($F105&lt;&gt;0,LEFT('CHUNG TU'!$J96,LEN('CPSXKD 622'!G$10))='CPSXKD 622'!G$10),'CPSXKD 622'!$F105,0)</f>
        <v>0</v>
      </c>
      <c r="H105" s="192">
        <f>IF(AND($F105&lt;&gt;0,LEFT('CHUNG TU'!$J96,LEN('CPSXKD 622'!H$10))='CPSXKD 622'!H$10),'CPSXKD 622'!$F105,0)</f>
        <v>0</v>
      </c>
      <c r="I105" s="192">
        <f>IF(AND($F105&lt;&gt;0,LEFT('CHUNG TU'!$J96,LEN('CPSXKD 622'!I$10))='CPSXKD 622'!I$10),'CPSXKD 622'!$F105,0)</f>
        <v>0</v>
      </c>
      <c r="J105" s="192">
        <f>IF(AND($F105&lt;&gt;0,LEFT('CHUNG TU'!$J96,LEN('CPSXKD 622'!J$10))='CPSXKD 622'!J$10),'CPSXKD 622'!$F105,0)</f>
        <v>0</v>
      </c>
      <c r="K105" s="192">
        <f t="shared" si="2"/>
        <v>0</v>
      </c>
      <c r="L105" s="201">
        <f>IF(F105&lt;&gt;0,'CHUNG TU'!J96,"")</f>
      </c>
      <c r="M105" s="192">
        <f>IF(LEFT('CHUNG TU'!J96,3)='CPSXKD 622'!$H$7,'CHUNG TU'!$L96,0)</f>
        <v>0</v>
      </c>
      <c r="N105" s="192">
        <f>IF(M105&lt;&gt;0,'CHUNG TU'!I96,"")</f>
      </c>
    </row>
    <row r="106" spans="2:14" ht="12.75">
      <c r="B106" s="192">
        <f>IF($F106+$M106&lt;&gt;0,'CHUNG TU'!A97,"")</f>
      </c>
      <c r="C106" s="192">
        <f>IF($F106+$M106&lt;&gt;0,IF('CHUNG TU'!B97&lt;&gt;"",'CHUNG TU'!B97,IF('CHUNG TU'!C97&lt;&gt;"",'CHUNG TU'!C97,'CHUNG TU'!D97)),"")</f>
      </c>
      <c r="D106" s="192">
        <f>IF($F106+$M106&lt;&gt;0,'CHUNG TU'!F97,"")</f>
      </c>
      <c r="E106" s="192">
        <f>IF($F106+$M106&lt;&gt;0,'CHUNG TU'!H97,"")</f>
      </c>
      <c r="F106" s="192">
        <f>IF(LEFT('CHUNG TU'!I97,3)='CPSXKD 622'!$H$7,'CHUNG TU'!$L97,0)</f>
        <v>0</v>
      </c>
      <c r="G106" s="192">
        <f>IF(AND($F106&lt;&gt;0,LEFT('CHUNG TU'!$J97,LEN('CPSXKD 622'!G$10))='CPSXKD 622'!G$10),'CPSXKD 622'!$F106,0)</f>
        <v>0</v>
      </c>
      <c r="H106" s="192">
        <f>IF(AND($F106&lt;&gt;0,LEFT('CHUNG TU'!$J97,LEN('CPSXKD 622'!H$10))='CPSXKD 622'!H$10),'CPSXKD 622'!$F106,0)</f>
        <v>0</v>
      </c>
      <c r="I106" s="192">
        <f>IF(AND($F106&lt;&gt;0,LEFT('CHUNG TU'!$J97,LEN('CPSXKD 622'!I$10))='CPSXKD 622'!I$10),'CPSXKD 622'!$F106,0)</f>
        <v>0</v>
      </c>
      <c r="J106" s="192">
        <f>IF(AND($F106&lt;&gt;0,LEFT('CHUNG TU'!$J97,LEN('CPSXKD 622'!J$10))='CPSXKD 622'!J$10),'CPSXKD 622'!$F106,0)</f>
        <v>0</v>
      </c>
      <c r="K106" s="192">
        <f t="shared" si="2"/>
        <v>0</v>
      </c>
      <c r="L106" s="201">
        <f>IF(F106&lt;&gt;0,'CHUNG TU'!J97,"")</f>
      </c>
      <c r="M106" s="192">
        <f>IF(LEFT('CHUNG TU'!J97,3)='CPSXKD 622'!$H$7,'CHUNG TU'!$L97,0)</f>
        <v>0</v>
      </c>
      <c r="N106" s="192">
        <f>IF(M106&lt;&gt;0,'CHUNG TU'!I97,"")</f>
      </c>
    </row>
    <row r="107" spans="2:14" ht="12.75">
      <c r="B107" s="192">
        <f>IF($F107+$M107&lt;&gt;0,'CHUNG TU'!A98,"")</f>
      </c>
      <c r="C107" s="192">
        <f>IF($F107+$M107&lt;&gt;0,IF('CHUNG TU'!B98&lt;&gt;"",'CHUNG TU'!B98,IF('CHUNG TU'!C98&lt;&gt;"",'CHUNG TU'!C98,'CHUNG TU'!D98)),"")</f>
      </c>
      <c r="D107" s="192">
        <f>IF($F107+$M107&lt;&gt;0,'CHUNG TU'!F98,"")</f>
      </c>
      <c r="E107" s="192">
        <f>IF($F107+$M107&lt;&gt;0,'CHUNG TU'!H98,"")</f>
      </c>
      <c r="F107" s="192">
        <f>IF(LEFT('CHUNG TU'!I98,3)='CPSXKD 622'!$H$7,'CHUNG TU'!$L98,0)</f>
        <v>0</v>
      </c>
      <c r="G107" s="192">
        <f>IF(AND($F107&lt;&gt;0,LEFT('CHUNG TU'!$J98,LEN('CPSXKD 622'!G$10))='CPSXKD 622'!G$10),'CPSXKD 622'!$F107,0)</f>
        <v>0</v>
      </c>
      <c r="H107" s="192">
        <f>IF(AND($F107&lt;&gt;0,LEFT('CHUNG TU'!$J98,LEN('CPSXKD 622'!H$10))='CPSXKD 622'!H$10),'CPSXKD 622'!$F107,0)</f>
        <v>0</v>
      </c>
      <c r="I107" s="192">
        <f>IF(AND($F107&lt;&gt;0,LEFT('CHUNG TU'!$J98,LEN('CPSXKD 622'!I$10))='CPSXKD 622'!I$10),'CPSXKD 622'!$F107,0)</f>
        <v>0</v>
      </c>
      <c r="J107" s="192">
        <f>IF(AND($F107&lt;&gt;0,LEFT('CHUNG TU'!$J98,LEN('CPSXKD 622'!J$10))='CPSXKD 622'!J$10),'CPSXKD 622'!$F107,0)</f>
        <v>0</v>
      </c>
      <c r="K107" s="192">
        <f t="shared" si="2"/>
        <v>0</v>
      </c>
      <c r="L107" s="201">
        <f>IF(F107&lt;&gt;0,'CHUNG TU'!J98,"")</f>
      </c>
      <c r="M107" s="192">
        <f>IF(LEFT('CHUNG TU'!J98,3)='CPSXKD 622'!$H$7,'CHUNG TU'!$L98,0)</f>
        <v>0</v>
      </c>
      <c r="N107" s="192">
        <f>IF(M107&lt;&gt;0,'CHUNG TU'!I98,"")</f>
      </c>
    </row>
    <row r="108" spans="2:14" ht="12.75">
      <c r="B108" s="192">
        <f>IF($F108+$M108&lt;&gt;0,'CHUNG TU'!A99,"")</f>
      </c>
      <c r="C108" s="192">
        <f>IF($F108+$M108&lt;&gt;0,IF('CHUNG TU'!B99&lt;&gt;"",'CHUNG TU'!B99,IF('CHUNG TU'!C99&lt;&gt;"",'CHUNG TU'!C99,'CHUNG TU'!D99)),"")</f>
      </c>
      <c r="D108" s="192">
        <f>IF($F108+$M108&lt;&gt;0,'CHUNG TU'!F99,"")</f>
      </c>
      <c r="E108" s="192">
        <f>IF($F108+$M108&lt;&gt;0,'CHUNG TU'!H99,"")</f>
      </c>
      <c r="F108" s="192">
        <f>IF(LEFT('CHUNG TU'!I99,3)='CPSXKD 622'!$H$7,'CHUNG TU'!$L99,0)</f>
        <v>0</v>
      </c>
      <c r="G108" s="192">
        <f>IF(AND($F108&lt;&gt;0,LEFT('CHUNG TU'!$J99,LEN('CPSXKD 622'!G$10))='CPSXKD 622'!G$10),'CPSXKD 622'!$F108,0)</f>
        <v>0</v>
      </c>
      <c r="H108" s="192">
        <f>IF(AND($F108&lt;&gt;0,LEFT('CHUNG TU'!$J99,LEN('CPSXKD 622'!H$10))='CPSXKD 622'!H$10),'CPSXKD 622'!$F108,0)</f>
        <v>0</v>
      </c>
      <c r="I108" s="192">
        <f>IF(AND($F108&lt;&gt;0,LEFT('CHUNG TU'!$J99,LEN('CPSXKD 622'!I$10))='CPSXKD 622'!I$10),'CPSXKD 622'!$F108,0)</f>
        <v>0</v>
      </c>
      <c r="J108" s="192">
        <f>IF(AND($F108&lt;&gt;0,LEFT('CHUNG TU'!$J99,LEN('CPSXKD 622'!J$10))='CPSXKD 622'!J$10),'CPSXKD 622'!$F108,0)</f>
        <v>0</v>
      </c>
      <c r="K108" s="192">
        <f t="shared" si="2"/>
        <v>0</v>
      </c>
      <c r="L108" s="201">
        <f>IF(F108&lt;&gt;0,'CHUNG TU'!J99,"")</f>
      </c>
      <c r="M108" s="192">
        <f>IF(LEFT('CHUNG TU'!J99,3)='CPSXKD 622'!$H$7,'CHUNG TU'!$L99,0)</f>
        <v>0</v>
      </c>
      <c r="N108" s="192">
        <f>IF(M108&lt;&gt;0,'CHUNG TU'!I99,"")</f>
      </c>
    </row>
    <row r="109" spans="2:14" ht="12.75">
      <c r="B109" s="192">
        <f>IF($F109+$M109&lt;&gt;0,'CHUNG TU'!A100,"")</f>
      </c>
      <c r="C109" s="192">
        <f>IF($F109+$M109&lt;&gt;0,IF('CHUNG TU'!B100&lt;&gt;"",'CHUNG TU'!B100,IF('CHUNG TU'!C100&lt;&gt;"",'CHUNG TU'!C100,'CHUNG TU'!D100)),"")</f>
      </c>
      <c r="D109" s="192">
        <f>IF($F109+$M109&lt;&gt;0,'CHUNG TU'!F100,"")</f>
      </c>
      <c r="E109" s="192">
        <f>IF($F109+$M109&lt;&gt;0,'CHUNG TU'!H100,"")</f>
      </c>
      <c r="F109" s="192">
        <f>IF(LEFT('CHUNG TU'!I100,3)='CPSXKD 622'!$H$7,'CHUNG TU'!$L100,0)</f>
        <v>0</v>
      </c>
      <c r="G109" s="192">
        <f>IF(AND($F109&lt;&gt;0,LEFT('CHUNG TU'!$J100,LEN('CPSXKD 622'!G$10))='CPSXKD 622'!G$10),'CPSXKD 622'!$F109,0)</f>
        <v>0</v>
      </c>
      <c r="H109" s="192">
        <f>IF(AND($F109&lt;&gt;0,LEFT('CHUNG TU'!$J100,LEN('CPSXKD 622'!H$10))='CPSXKD 622'!H$10),'CPSXKD 622'!$F109,0)</f>
        <v>0</v>
      </c>
      <c r="I109" s="192">
        <f>IF(AND($F109&lt;&gt;0,LEFT('CHUNG TU'!$J100,LEN('CPSXKD 622'!I$10))='CPSXKD 622'!I$10),'CPSXKD 622'!$F109,0)</f>
        <v>0</v>
      </c>
      <c r="J109" s="192">
        <f>IF(AND($F109&lt;&gt;0,LEFT('CHUNG TU'!$J100,LEN('CPSXKD 622'!J$10))='CPSXKD 622'!J$10),'CPSXKD 622'!$F109,0)</f>
        <v>0</v>
      </c>
      <c r="K109" s="192">
        <f t="shared" si="2"/>
        <v>0</v>
      </c>
      <c r="L109" s="201">
        <f>IF(F109&lt;&gt;0,'CHUNG TU'!J100,"")</f>
      </c>
      <c r="M109" s="192">
        <f>IF(LEFT('CHUNG TU'!J100,3)='CPSXKD 622'!$H$7,'CHUNG TU'!$L100,0)</f>
        <v>0</v>
      </c>
      <c r="N109" s="192">
        <f>IF(M109&lt;&gt;0,'CHUNG TU'!I100,"")</f>
      </c>
    </row>
    <row r="110" spans="2:14" ht="12.75">
      <c r="B110" s="192">
        <f>IF($F110+$M110&lt;&gt;0,'CHUNG TU'!A101,"")</f>
      </c>
      <c r="C110" s="192">
        <f>IF($F110+$M110&lt;&gt;0,IF('CHUNG TU'!B101&lt;&gt;"",'CHUNG TU'!B101,IF('CHUNG TU'!C101&lt;&gt;"",'CHUNG TU'!C101,'CHUNG TU'!D101)),"")</f>
      </c>
      <c r="D110" s="192">
        <f>IF($F110+$M110&lt;&gt;0,'CHUNG TU'!F101,"")</f>
      </c>
      <c r="E110" s="192">
        <f>IF($F110+$M110&lt;&gt;0,'CHUNG TU'!H101,"")</f>
      </c>
      <c r="F110" s="192">
        <f>IF(LEFT('CHUNG TU'!I101,3)='CPSXKD 622'!$H$7,'CHUNG TU'!$L101,0)</f>
        <v>0</v>
      </c>
      <c r="G110" s="192">
        <f>IF(AND($F110&lt;&gt;0,LEFT('CHUNG TU'!$J101,LEN('CPSXKD 622'!G$10))='CPSXKD 622'!G$10),'CPSXKD 622'!$F110,0)</f>
        <v>0</v>
      </c>
      <c r="H110" s="192">
        <f>IF(AND($F110&lt;&gt;0,LEFT('CHUNG TU'!$J101,LEN('CPSXKD 622'!H$10))='CPSXKD 622'!H$10),'CPSXKD 622'!$F110,0)</f>
        <v>0</v>
      </c>
      <c r="I110" s="192">
        <f>IF(AND($F110&lt;&gt;0,LEFT('CHUNG TU'!$J101,LEN('CPSXKD 622'!I$10))='CPSXKD 622'!I$10),'CPSXKD 622'!$F110,0)</f>
        <v>0</v>
      </c>
      <c r="J110" s="192">
        <f>IF(AND($F110&lt;&gt;0,LEFT('CHUNG TU'!$J101,LEN('CPSXKD 622'!J$10))='CPSXKD 622'!J$10),'CPSXKD 622'!$F110,0)</f>
        <v>0</v>
      </c>
      <c r="K110" s="192">
        <f t="shared" si="2"/>
        <v>0</v>
      </c>
      <c r="L110" s="201">
        <f>IF(F110&lt;&gt;0,'CHUNG TU'!J101,"")</f>
      </c>
      <c r="M110" s="192">
        <f>IF(LEFT('CHUNG TU'!J101,3)='CPSXKD 622'!$H$7,'CHUNG TU'!$L101,0)</f>
        <v>0</v>
      </c>
      <c r="N110" s="192">
        <f>IF(M110&lt;&gt;0,'CHUNG TU'!I101,"")</f>
      </c>
    </row>
    <row r="111" spans="2:14" ht="12.75">
      <c r="B111" s="192">
        <f>IF($F111+$M111&lt;&gt;0,'CHUNG TU'!A102,"")</f>
      </c>
      <c r="C111" s="192">
        <f>IF($F111+$M111&lt;&gt;0,IF('CHUNG TU'!B102&lt;&gt;"",'CHUNG TU'!B102,IF('CHUNG TU'!C102&lt;&gt;"",'CHUNG TU'!C102,'CHUNG TU'!D102)),"")</f>
      </c>
      <c r="D111" s="192">
        <f>IF($F111+$M111&lt;&gt;0,'CHUNG TU'!F102,"")</f>
      </c>
      <c r="E111" s="192">
        <f>IF($F111+$M111&lt;&gt;0,'CHUNG TU'!H102,"")</f>
      </c>
      <c r="F111" s="192">
        <f>IF(LEFT('CHUNG TU'!I102,3)='CPSXKD 622'!$H$7,'CHUNG TU'!$L102,0)</f>
        <v>0</v>
      </c>
      <c r="G111" s="192">
        <f>IF(AND($F111&lt;&gt;0,LEFT('CHUNG TU'!$J102,LEN('CPSXKD 622'!G$10))='CPSXKD 622'!G$10),'CPSXKD 622'!$F111,0)</f>
        <v>0</v>
      </c>
      <c r="H111" s="192">
        <f>IF(AND($F111&lt;&gt;0,LEFT('CHUNG TU'!$J102,LEN('CPSXKD 622'!H$10))='CPSXKD 622'!H$10),'CPSXKD 622'!$F111,0)</f>
        <v>0</v>
      </c>
      <c r="I111" s="192">
        <f>IF(AND($F111&lt;&gt;0,LEFT('CHUNG TU'!$J102,LEN('CPSXKD 622'!I$10))='CPSXKD 622'!I$10),'CPSXKD 622'!$F111,0)</f>
        <v>0</v>
      </c>
      <c r="J111" s="192">
        <f>IF(AND($F111&lt;&gt;0,LEFT('CHUNG TU'!$J102,LEN('CPSXKD 622'!J$10))='CPSXKD 622'!J$10),'CPSXKD 622'!$F111,0)</f>
        <v>0</v>
      </c>
      <c r="K111" s="192">
        <f t="shared" si="2"/>
        <v>0</v>
      </c>
      <c r="L111" s="201">
        <f>IF(F111&lt;&gt;0,'CHUNG TU'!J102,"")</f>
      </c>
      <c r="M111" s="192">
        <f>IF(LEFT('CHUNG TU'!J102,3)='CPSXKD 622'!$H$7,'CHUNG TU'!$L102,0)</f>
        <v>0</v>
      </c>
      <c r="N111" s="192">
        <f>IF(M111&lt;&gt;0,'CHUNG TU'!I102,"")</f>
      </c>
    </row>
    <row r="112" spans="2:14" ht="12.75">
      <c r="B112" s="192">
        <f>IF($F112+$M112&lt;&gt;0,'CHUNG TU'!A103,"")</f>
      </c>
      <c r="C112" s="192">
        <f>IF($F112+$M112&lt;&gt;0,IF('CHUNG TU'!B103&lt;&gt;"",'CHUNG TU'!B103,IF('CHUNG TU'!C103&lt;&gt;"",'CHUNG TU'!C103,'CHUNG TU'!D103)),"")</f>
      </c>
      <c r="D112" s="192">
        <f>IF($F112+$M112&lt;&gt;0,'CHUNG TU'!F103,"")</f>
      </c>
      <c r="E112" s="192">
        <f>IF($F112+$M112&lt;&gt;0,'CHUNG TU'!H103,"")</f>
      </c>
      <c r="F112" s="192">
        <f>IF(LEFT('CHUNG TU'!I103,3)='CPSXKD 622'!$H$7,'CHUNG TU'!$L103,0)</f>
        <v>0</v>
      </c>
      <c r="G112" s="192">
        <f>IF(AND($F112&lt;&gt;0,LEFT('CHUNG TU'!$J103,LEN('CPSXKD 622'!G$10))='CPSXKD 622'!G$10),'CPSXKD 622'!$F112,0)</f>
        <v>0</v>
      </c>
      <c r="H112" s="192">
        <f>IF(AND($F112&lt;&gt;0,LEFT('CHUNG TU'!$J103,LEN('CPSXKD 622'!H$10))='CPSXKD 622'!H$10),'CPSXKD 622'!$F112,0)</f>
        <v>0</v>
      </c>
      <c r="I112" s="192">
        <f>IF(AND($F112&lt;&gt;0,LEFT('CHUNG TU'!$J103,LEN('CPSXKD 622'!I$10))='CPSXKD 622'!I$10),'CPSXKD 622'!$F112,0)</f>
        <v>0</v>
      </c>
      <c r="J112" s="192">
        <f>IF(AND($F112&lt;&gt;0,LEFT('CHUNG TU'!$J103,LEN('CPSXKD 622'!J$10))='CPSXKD 622'!J$10),'CPSXKD 622'!$F112,0)</f>
        <v>0</v>
      </c>
      <c r="K112" s="192">
        <f t="shared" si="2"/>
        <v>0</v>
      </c>
      <c r="L112" s="201">
        <f>IF(F112&lt;&gt;0,'CHUNG TU'!J103,"")</f>
      </c>
      <c r="M112" s="192">
        <f>IF(LEFT('CHUNG TU'!J103,3)='CPSXKD 622'!$H$7,'CHUNG TU'!$L103,0)</f>
        <v>0</v>
      </c>
      <c r="N112" s="192">
        <f>IF(M112&lt;&gt;0,'CHUNG TU'!I103,"")</f>
      </c>
    </row>
    <row r="113" spans="2:14" ht="12.75">
      <c r="B113" s="192">
        <f>IF($F113+$M113&lt;&gt;0,'CHUNG TU'!A104,"")</f>
      </c>
      <c r="C113" s="192">
        <f>IF($F113+$M113&lt;&gt;0,IF('CHUNG TU'!B104&lt;&gt;"",'CHUNG TU'!B104,IF('CHUNG TU'!C104&lt;&gt;"",'CHUNG TU'!C104,'CHUNG TU'!D104)),"")</f>
      </c>
      <c r="D113" s="192">
        <f>IF($F113+$M113&lt;&gt;0,'CHUNG TU'!F104,"")</f>
      </c>
      <c r="E113" s="192">
        <f>IF($F113+$M113&lt;&gt;0,'CHUNG TU'!H104,"")</f>
      </c>
      <c r="F113" s="192">
        <f>IF(LEFT('CHUNG TU'!I104,3)='CPSXKD 622'!$H$7,'CHUNG TU'!$L104,0)</f>
        <v>0</v>
      </c>
      <c r="G113" s="192">
        <f>IF(AND($F113&lt;&gt;0,LEFT('CHUNG TU'!$J104,LEN('CPSXKD 622'!G$10))='CPSXKD 622'!G$10),'CPSXKD 622'!$F113,0)</f>
        <v>0</v>
      </c>
      <c r="H113" s="192">
        <f>IF(AND($F113&lt;&gt;0,LEFT('CHUNG TU'!$J104,LEN('CPSXKD 622'!H$10))='CPSXKD 622'!H$10),'CPSXKD 622'!$F113,0)</f>
        <v>0</v>
      </c>
      <c r="I113" s="192">
        <f>IF(AND($F113&lt;&gt;0,LEFT('CHUNG TU'!$J104,LEN('CPSXKD 622'!I$10))='CPSXKD 622'!I$10),'CPSXKD 622'!$F113,0)</f>
        <v>0</v>
      </c>
      <c r="J113" s="192">
        <f>IF(AND($F113&lt;&gt;0,LEFT('CHUNG TU'!$J104,LEN('CPSXKD 622'!J$10))='CPSXKD 622'!J$10),'CPSXKD 622'!$F113,0)</f>
        <v>0</v>
      </c>
      <c r="K113" s="192">
        <f t="shared" si="2"/>
        <v>0</v>
      </c>
      <c r="L113" s="201">
        <f>IF(F113&lt;&gt;0,'CHUNG TU'!J104,"")</f>
      </c>
      <c r="M113" s="192">
        <f>IF(LEFT('CHUNG TU'!J104,3)='CPSXKD 622'!$H$7,'CHUNG TU'!$L104,0)</f>
        <v>0</v>
      </c>
      <c r="N113" s="192">
        <f>IF(M113&lt;&gt;0,'CHUNG TU'!I104,"")</f>
      </c>
    </row>
    <row r="114" spans="2:14" ht="12.75">
      <c r="B114" s="192">
        <f>IF($F114+$M114&lt;&gt;0,'CHUNG TU'!A105,"")</f>
      </c>
      <c r="C114" s="192">
        <f>IF($F114+$M114&lt;&gt;0,IF('CHUNG TU'!B105&lt;&gt;"",'CHUNG TU'!B105,IF('CHUNG TU'!C105&lt;&gt;"",'CHUNG TU'!C105,'CHUNG TU'!D105)),"")</f>
      </c>
      <c r="D114" s="192">
        <f>IF($F114+$M114&lt;&gt;0,'CHUNG TU'!F105,"")</f>
      </c>
      <c r="E114" s="192">
        <f>IF($F114+$M114&lt;&gt;0,'CHUNG TU'!H105,"")</f>
      </c>
      <c r="F114" s="192">
        <f>IF(LEFT('CHUNG TU'!I105,3)='CPSXKD 622'!$H$7,'CHUNG TU'!$L105,0)</f>
        <v>0</v>
      </c>
      <c r="G114" s="192">
        <f>IF(AND($F114&lt;&gt;0,LEFT('CHUNG TU'!$J105,LEN('CPSXKD 622'!G$10))='CPSXKD 622'!G$10),'CPSXKD 622'!$F114,0)</f>
        <v>0</v>
      </c>
      <c r="H114" s="192">
        <f>IF(AND($F114&lt;&gt;0,LEFT('CHUNG TU'!$J105,LEN('CPSXKD 622'!H$10))='CPSXKD 622'!H$10),'CPSXKD 622'!$F114,0)</f>
        <v>0</v>
      </c>
      <c r="I114" s="192">
        <f>IF(AND($F114&lt;&gt;0,LEFT('CHUNG TU'!$J105,LEN('CPSXKD 622'!I$10))='CPSXKD 622'!I$10),'CPSXKD 622'!$F114,0)</f>
        <v>0</v>
      </c>
      <c r="J114" s="192">
        <f>IF(AND($F114&lt;&gt;0,LEFT('CHUNG TU'!$J105,LEN('CPSXKD 622'!J$10))='CPSXKD 622'!J$10),'CPSXKD 622'!$F114,0)</f>
        <v>0</v>
      </c>
      <c r="K114" s="192">
        <f t="shared" si="2"/>
        <v>0</v>
      </c>
      <c r="L114" s="201">
        <f>IF(F114&lt;&gt;0,'CHUNG TU'!J105,"")</f>
      </c>
      <c r="M114" s="192">
        <f>IF(LEFT('CHUNG TU'!J105,3)='CPSXKD 622'!$H$7,'CHUNG TU'!$L105,0)</f>
        <v>0</v>
      </c>
      <c r="N114" s="192">
        <f>IF(M114&lt;&gt;0,'CHUNG TU'!I105,"")</f>
      </c>
    </row>
    <row r="115" spans="2:14" ht="12.75">
      <c r="B115" s="192">
        <f>IF($F115+$M115&lt;&gt;0,'CHUNG TU'!A106,"")</f>
      </c>
      <c r="C115" s="192">
        <f>IF($F115+$M115&lt;&gt;0,IF('CHUNG TU'!B106&lt;&gt;"",'CHUNG TU'!B106,IF('CHUNG TU'!C106&lt;&gt;"",'CHUNG TU'!C106,'CHUNG TU'!D106)),"")</f>
      </c>
      <c r="D115" s="192">
        <f>IF($F115+$M115&lt;&gt;0,'CHUNG TU'!F106,"")</f>
      </c>
      <c r="E115" s="192">
        <f>IF($F115+$M115&lt;&gt;0,'CHUNG TU'!H106,"")</f>
      </c>
      <c r="F115" s="192">
        <f>IF(LEFT('CHUNG TU'!I106,3)='CPSXKD 622'!$H$7,'CHUNG TU'!$L106,0)</f>
        <v>0</v>
      </c>
      <c r="G115" s="192">
        <f>IF(AND($F115&lt;&gt;0,LEFT('CHUNG TU'!$J106,LEN('CPSXKD 622'!G$10))='CPSXKD 622'!G$10),'CPSXKD 622'!$F115,0)</f>
        <v>0</v>
      </c>
      <c r="H115" s="192">
        <f>IF(AND($F115&lt;&gt;0,LEFT('CHUNG TU'!$J106,LEN('CPSXKD 622'!H$10))='CPSXKD 622'!H$10),'CPSXKD 622'!$F115,0)</f>
        <v>0</v>
      </c>
      <c r="I115" s="192">
        <f>IF(AND($F115&lt;&gt;0,LEFT('CHUNG TU'!$J106,LEN('CPSXKD 622'!I$10))='CPSXKD 622'!I$10),'CPSXKD 622'!$F115,0)</f>
        <v>0</v>
      </c>
      <c r="J115" s="192">
        <f>IF(AND($F115&lt;&gt;0,LEFT('CHUNG TU'!$J106,LEN('CPSXKD 622'!J$10))='CPSXKD 622'!J$10),'CPSXKD 622'!$F115,0)</f>
        <v>0</v>
      </c>
      <c r="K115" s="192">
        <f t="shared" si="2"/>
        <v>0</v>
      </c>
      <c r="L115" s="201">
        <f>IF(F115&lt;&gt;0,'CHUNG TU'!J106,"")</f>
      </c>
      <c r="M115" s="192">
        <f>IF(LEFT('CHUNG TU'!J106,3)='CPSXKD 622'!$H$7,'CHUNG TU'!$L106,0)</f>
        <v>0</v>
      </c>
      <c r="N115" s="192">
        <f>IF(M115&lt;&gt;0,'CHUNG TU'!I106,"")</f>
      </c>
    </row>
    <row r="116" spans="2:14" ht="12.75">
      <c r="B116" s="192">
        <f>IF($F116+$M116&lt;&gt;0,'CHUNG TU'!A107,"")</f>
      </c>
      <c r="C116" s="192">
        <f>IF($F116+$M116&lt;&gt;0,IF('CHUNG TU'!B107&lt;&gt;"",'CHUNG TU'!B107,IF('CHUNG TU'!C107&lt;&gt;"",'CHUNG TU'!C107,'CHUNG TU'!D107)),"")</f>
      </c>
      <c r="D116" s="192">
        <f>IF($F116+$M116&lt;&gt;0,'CHUNG TU'!F107,"")</f>
      </c>
      <c r="E116" s="192">
        <f>IF($F116+$M116&lt;&gt;0,'CHUNG TU'!H107,"")</f>
      </c>
      <c r="F116" s="192">
        <f>IF(LEFT('CHUNG TU'!I107,3)='CPSXKD 622'!$H$7,'CHUNG TU'!$L107,0)</f>
        <v>0</v>
      </c>
      <c r="G116" s="192">
        <f>IF(AND($F116&lt;&gt;0,LEFT('CHUNG TU'!$J107,LEN('CPSXKD 622'!G$10))='CPSXKD 622'!G$10),'CPSXKD 622'!$F116,0)</f>
        <v>0</v>
      </c>
      <c r="H116" s="192">
        <f>IF(AND($F116&lt;&gt;0,LEFT('CHUNG TU'!$J107,LEN('CPSXKD 622'!H$10))='CPSXKD 622'!H$10),'CPSXKD 622'!$F116,0)</f>
        <v>0</v>
      </c>
      <c r="I116" s="192">
        <f>IF(AND($F116&lt;&gt;0,LEFT('CHUNG TU'!$J107,LEN('CPSXKD 622'!I$10))='CPSXKD 622'!I$10),'CPSXKD 622'!$F116,0)</f>
        <v>0</v>
      </c>
      <c r="J116" s="192">
        <f>IF(AND($F116&lt;&gt;0,LEFT('CHUNG TU'!$J107,LEN('CPSXKD 622'!J$10))='CPSXKD 622'!J$10),'CPSXKD 622'!$F116,0)</f>
        <v>0</v>
      </c>
      <c r="K116" s="192">
        <f t="shared" si="2"/>
        <v>0</v>
      </c>
      <c r="L116" s="201">
        <f>IF(F116&lt;&gt;0,'CHUNG TU'!J107,"")</f>
      </c>
      <c r="M116" s="192">
        <f>IF(LEFT('CHUNG TU'!J107,3)='CPSXKD 622'!$H$7,'CHUNG TU'!$L107,0)</f>
        <v>0</v>
      </c>
      <c r="N116" s="192">
        <f>IF(M116&lt;&gt;0,'CHUNG TU'!I107,"")</f>
      </c>
    </row>
    <row r="117" spans="2:14" ht="12.75">
      <c r="B117" s="192">
        <f>IF($F117+$M117&lt;&gt;0,'CHUNG TU'!A108,"")</f>
      </c>
      <c r="C117" s="192">
        <f>IF($F117+$M117&lt;&gt;0,IF('CHUNG TU'!B108&lt;&gt;"",'CHUNG TU'!B108,IF('CHUNG TU'!C108&lt;&gt;"",'CHUNG TU'!C108,'CHUNG TU'!D108)),"")</f>
      </c>
      <c r="D117" s="192">
        <f>IF($F117+$M117&lt;&gt;0,'CHUNG TU'!F108,"")</f>
      </c>
      <c r="E117" s="192">
        <f>IF($F117+$M117&lt;&gt;0,'CHUNG TU'!H108,"")</f>
      </c>
      <c r="F117" s="192">
        <f>IF(LEFT('CHUNG TU'!I108,3)='CPSXKD 622'!$H$7,'CHUNG TU'!$L108,0)</f>
        <v>0</v>
      </c>
      <c r="G117" s="192">
        <f>IF(AND($F117&lt;&gt;0,LEFT('CHUNG TU'!$J108,LEN('CPSXKD 622'!G$10))='CPSXKD 622'!G$10),'CPSXKD 622'!$F117,0)</f>
        <v>0</v>
      </c>
      <c r="H117" s="192">
        <f>IF(AND($F117&lt;&gt;0,LEFT('CHUNG TU'!$J108,LEN('CPSXKD 622'!H$10))='CPSXKD 622'!H$10),'CPSXKD 622'!$F117,0)</f>
        <v>0</v>
      </c>
      <c r="I117" s="192">
        <f>IF(AND($F117&lt;&gt;0,LEFT('CHUNG TU'!$J108,LEN('CPSXKD 622'!I$10))='CPSXKD 622'!I$10),'CPSXKD 622'!$F117,0)</f>
        <v>0</v>
      </c>
      <c r="J117" s="192">
        <f>IF(AND($F117&lt;&gt;0,LEFT('CHUNG TU'!$J108,LEN('CPSXKD 622'!J$10))='CPSXKD 622'!J$10),'CPSXKD 622'!$F117,0)</f>
        <v>0</v>
      </c>
      <c r="K117" s="192">
        <f t="shared" si="2"/>
        <v>0</v>
      </c>
      <c r="L117" s="201">
        <f>IF(F117&lt;&gt;0,'CHUNG TU'!J108,"")</f>
      </c>
      <c r="M117" s="192">
        <f>IF(LEFT('CHUNG TU'!J108,3)='CPSXKD 622'!$H$7,'CHUNG TU'!$L108,0)</f>
        <v>0</v>
      </c>
      <c r="N117" s="192">
        <f>IF(M117&lt;&gt;0,'CHUNG TU'!I108,"")</f>
      </c>
    </row>
    <row r="118" spans="2:14" ht="12.75">
      <c r="B118" s="192">
        <f>IF($F118+$M118&lt;&gt;0,'CHUNG TU'!A109,"")</f>
      </c>
      <c r="C118" s="192">
        <f>IF($F118+$M118&lt;&gt;0,IF('CHUNG TU'!B109&lt;&gt;"",'CHUNG TU'!B109,IF('CHUNG TU'!C109&lt;&gt;"",'CHUNG TU'!C109,'CHUNG TU'!D109)),"")</f>
      </c>
      <c r="D118" s="192">
        <f>IF($F118+$M118&lt;&gt;0,'CHUNG TU'!F109,"")</f>
      </c>
      <c r="E118" s="192">
        <f>IF($F118+$M118&lt;&gt;0,'CHUNG TU'!H109,"")</f>
      </c>
      <c r="F118" s="192">
        <f>IF(LEFT('CHUNG TU'!I109,3)='CPSXKD 622'!$H$7,'CHUNG TU'!$L109,0)</f>
        <v>0</v>
      </c>
      <c r="G118" s="192">
        <f>IF(AND($F118&lt;&gt;0,LEFT('CHUNG TU'!$J109,LEN('CPSXKD 622'!G$10))='CPSXKD 622'!G$10),'CPSXKD 622'!$F118,0)</f>
        <v>0</v>
      </c>
      <c r="H118" s="192">
        <f>IF(AND($F118&lt;&gt;0,LEFT('CHUNG TU'!$J109,LEN('CPSXKD 622'!H$10))='CPSXKD 622'!H$10),'CPSXKD 622'!$F118,0)</f>
        <v>0</v>
      </c>
      <c r="I118" s="192">
        <f>IF(AND($F118&lt;&gt;0,LEFT('CHUNG TU'!$J109,LEN('CPSXKD 622'!I$10))='CPSXKD 622'!I$10),'CPSXKD 622'!$F118,0)</f>
        <v>0</v>
      </c>
      <c r="J118" s="192">
        <f>IF(AND($F118&lt;&gt;0,LEFT('CHUNG TU'!$J109,LEN('CPSXKD 622'!J$10))='CPSXKD 622'!J$10),'CPSXKD 622'!$F118,0)</f>
        <v>0</v>
      </c>
      <c r="K118" s="192">
        <f t="shared" si="2"/>
        <v>0</v>
      </c>
      <c r="L118" s="201">
        <f>IF(F118&lt;&gt;0,'CHUNG TU'!J109,"")</f>
      </c>
      <c r="M118" s="192">
        <f>IF(LEFT('CHUNG TU'!J109,3)='CPSXKD 622'!$H$7,'CHUNG TU'!$L109,0)</f>
        <v>0</v>
      </c>
      <c r="N118" s="192">
        <f>IF(M118&lt;&gt;0,'CHUNG TU'!I109,"")</f>
      </c>
    </row>
    <row r="119" spans="2:14" ht="12.75">
      <c r="B119" s="192">
        <f>IF($F119+$M119&lt;&gt;0,'CHUNG TU'!A110,"")</f>
      </c>
      <c r="C119" s="192">
        <f>IF($F119+$M119&lt;&gt;0,IF('CHUNG TU'!B110&lt;&gt;"",'CHUNG TU'!B110,IF('CHUNG TU'!C110&lt;&gt;"",'CHUNG TU'!C110,'CHUNG TU'!D110)),"")</f>
      </c>
      <c r="D119" s="192">
        <f>IF($F119+$M119&lt;&gt;0,'CHUNG TU'!F110,"")</f>
      </c>
      <c r="E119" s="192">
        <f>IF($F119+$M119&lt;&gt;0,'CHUNG TU'!H110,"")</f>
      </c>
      <c r="F119" s="192">
        <f>IF(LEFT('CHUNG TU'!I110,3)='CPSXKD 622'!$H$7,'CHUNG TU'!$L110,0)</f>
        <v>0</v>
      </c>
      <c r="G119" s="192">
        <f>IF(AND($F119&lt;&gt;0,LEFT('CHUNG TU'!$J110,LEN('CPSXKD 622'!G$10))='CPSXKD 622'!G$10),'CPSXKD 622'!$F119,0)</f>
        <v>0</v>
      </c>
      <c r="H119" s="192">
        <f>IF(AND($F119&lt;&gt;0,LEFT('CHUNG TU'!$J110,LEN('CPSXKD 622'!H$10))='CPSXKD 622'!H$10),'CPSXKD 622'!$F119,0)</f>
        <v>0</v>
      </c>
      <c r="I119" s="192">
        <f>IF(AND($F119&lt;&gt;0,LEFT('CHUNG TU'!$J110,LEN('CPSXKD 622'!I$10))='CPSXKD 622'!I$10),'CPSXKD 622'!$F119,0)</f>
        <v>0</v>
      </c>
      <c r="J119" s="192">
        <f>IF(AND($F119&lt;&gt;0,LEFT('CHUNG TU'!$J110,LEN('CPSXKD 622'!J$10))='CPSXKD 622'!J$10),'CPSXKD 622'!$F119,0)</f>
        <v>0</v>
      </c>
      <c r="K119" s="192">
        <f t="shared" si="2"/>
        <v>0</v>
      </c>
      <c r="L119" s="201">
        <f>IF(F119&lt;&gt;0,'CHUNG TU'!J110,"")</f>
      </c>
      <c r="M119" s="192">
        <f>IF(LEFT('CHUNG TU'!J110,3)='CPSXKD 622'!$H$7,'CHUNG TU'!$L110,0)</f>
        <v>0</v>
      </c>
      <c r="N119" s="192">
        <f>IF(M119&lt;&gt;0,'CHUNG TU'!I110,"")</f>
      </c>
    </row>
    <row r="120" spans="2:14" ht="12.75">
      <c r="B120" s="192">
        <f>IF($F120+$M120&lt;&gt;0,'CHUNG TU'!A111,"")</f>
      </c>
      <c r="C120" s="192">
        <f>IF($F120+$M120&lt;&gt;0,IF('CHUNG TU'!B111&lt;&gt;"",'CHUNG TU'!B111,IF('CHUNG TU'!C111&lt;&gt;"",'CHUNG TU'!C111,'CHUNG TU'!D111)),"")</f>
      </c>
      <c r="D120" s="192">
        <f>IF($F120+$M120&lt;&gt;0,'CHUNG TU'!F111,"")</f>
      </c>
      <c r="E120" s="192">
        <f>IF($F120+$M120&lt;&gt;0,'CHUNG TU'!H111,"")</f>
      </c>
      <c r="F120" s="192">
        <f>IF(LEFT('CHUNG TU'!I111,3)='CPSXKD 622'!$H$7,'CHUNG TU'!$L111,0)</f>
        <v>0</v>
      </c>
      <c r="G120" s="192">
        <f>IF(AND($F120&lt;&gt;0,LEFT('CHUNG TU'!$J111,LEN('CPSXKD 622'!G$10))='CPSXKD 622'!G$10),'CPSXKD 622'!$F120,0)</f>
        <v>0</v>
      </c>
      <c r="H120" s="192">
        <f>IF(AND($F120&lt;&gt;0,LEFT('CHUNG TU'!$J111,LEN('CPSXKD 622'!H$10))='CPSXKD 622'!H$10),'CPSXKD 622'!$F120,0)</f>
        <v>0</v>
      </c>
      <c r="I120" s="192">
        <f>IF(AND($F120&lt;&gt;0,LEFT('CHUNG TU'!$J111,LEN('CPSXKD 622'!I$10))='CPSXKD 622'!I$10),'CPSXKD 622'!$F120,0)</f>
        <v>0</v>
      </c>
      <c r="J120" s="192">
        <f>IF(AND($F120&lt;&gt;0,LEFT('CHUNG TU'!$J111,LEN('CPSXKD 622'!J$10))='CPSXKD 622'!J$10),'CPSXKD 622'!$F120,0)</f>
        <v>0</v>
      </c>
      <c r="K120" s="192">
        <f t="shared" si="2"/>
        <v>0</v>
      </c>
      <c r="L120" s="201">
        <f>IF(F120&lt;&gt;0,'CHUNG TU'!J111,"")</f>
      </c>
      <c r="M120" s="192">
        <f>IF(LEFT('CHUNG TU'!J111,3)='CPSXKD 622'!$H$7,'CHUNG TU'!$L111,0)</f>
        <v>0</v>
      </c>
      <c r="N120" s="192">
        <f>IF(M120&lt;&gt;0,'CHUNG TU'!I111,"")</f>
      </c>
    </row>
    <row r="121" spans="2:14" ht="12.75">
      <c r="B121" s="192">
        <f>IF($F121+$M121&lt;&gt;0,'CHUNG TU'!A112,"")</f>
      </c>
      <c r="C121" s="192">
        <f>IF($F121+$M121&lt;&gt;0,IF('CHUNG TU'!B112&lt;&gt;"",'CHUNG TU'!B112,IF('CHUNG TU'!C112&lt;&gt;"",'CHUNG TU'!C112,'CHUNG TU'!D112)),"")</f>
      </c>
      <c r="D121" s="192">
        <f>IF($F121+$M121&lt;&gt;0,'CHUNG TU'!F112,"")</f>
      </c>
      <c r="E121" s="192">
        <f>IF($F121+$M121&lt;&gt;0,'CHUNG TU'!H112,"")</f>
      </c>
      <c r="F121" s="192">
        <f>IF(LEFT('CHUNG TU'!I112,3)='CPSXKD 622'!$H$7,'CHUNG TU'!$L112,0)</f>
        <v>0</v>
      </c>
      <c r="G121" s="192">
        <f>IF(AND($F121&lt;&gt;0,LEFT('CHUNG TU'!$J112,LEN('CPSXKD 622'!G$10))='CPSXKD 622'!G$10),'CPSXKD 622'!$F121,0)</f>
        <v>0</v>
      </c>
      <c r="H121" s="192">
        <f>IF(AND($F121&lt;&gt;0,LEFT('CHUNG TU'!$J112,LEN('CPSXKD 622'!H$10))='CPSXKD 622'!H$10),'CPSXKD 622'!$F121,0)</f>
        <v>0</v>
      </c>
      <c r="I121" s="192">
        <f>IF(AND($F121&lt;&gt;0,LEFT('CHUNG TU'!$J112,LEN('CPSXKD 622'!I$10))='CPSXKD 622'!I$10),'CPSXKD 622'!$F121,0)</f>
        <v>0</v>
      </c>
      <c r="J121" s="192">
        <f>IF(AND($F121&lt;&gt;0,LEFT('CHUNG TU'!$J112,LEN('CPSXKD 622'!J$10))='CPSXKD 622'!J$10),'CPSXKD 622'!$F121,0)</f>
        <v>0</v>
      </c>
      <c r="K121" s="192">
        <f t="shared" si="2"/>
        <v>0</v>
      </c>
      <c r="L121" s="201">
        <f>IF(F121&lt;&gt;0,'CHUNG TU'!J112,"")</f>
      </c>
      <c r="M121" s="192">
        <f>IF(LEFT('CHUNG TU'!J112,3)='CPSXKD 622'!$H$7,'CHUNG TU'!$L112,0)</f>
        <v>0</v>
      </c>
      <c r="N121" s="192">
        <f>IF(M121&lt;&gt;0,'CHUNG TU'!I112,"")</f>
      </c>
    </row>
    <row r="122" spans="2:14" ht="12.75">
      <c r="B122" s="192">
        <f>IF($F122+$M122&lt;&gt;0,'CHUNG TU'!A113,"")</f>
      </c>
      <c r="C122" s="192">
        <f>IF($F122+$M122&lt;&gt;0,IF('CHUNG TU'!B113&lt;&gt;"",'CHUNG TU'!B113,IF('CHUNG TU'!C113&lt;&gt;"",'CHUNG TU'!C113,'CHUNG TU'!D113)),"")</f>
      </c>
      <c r="D122" s="192">
        <f>IF($F122+$M122&lt;&gt;0,'CHUNG TU'!F113,"")</f>
      </c>
      <c r="E122" s="192">
        <f>IF($F122+$M122&lt;&gt;0,'CHUNG TU'!H113,"")</f>
      </c>
      <c r="F122" s="192">
        <f>IF(LEFT('CHUNG TU'!I113,3)='CPSXKD 622'!$H$7,'CHUNG TU'!$L113,0)</f>
        <v>0</v>
      </c>
      <c r="G122" s="192">
        <f>IF(AND($F122&lt;&gt;0,LEFT('CHUNG TU'!$J113,LEN('CPSXKD 622'!G$10))='CPSXKD 622'!G$10),'CPSXKD 622'!$F122,0)</f>
        <v>0</v>
      </c>
      <c r="H122" s="192">
        <f>IF(AND($F122&lt;&gt;0,LEFT('CHUNG TU'!$J113,LEN('CPSXKD 622'!H$10))='CPSXKD 622'!H$10),'CPSXKD 622'!$F122,0)</f>
        <v>0</v>
      </c>
      <c r="I122" s="192">
        <f>IF(AND($F122&lt;&gt;0,LEFT('CHUNG TU'!$J113,LEN('CPSXKD 622'!I$10))='CPSXKD 622'!I$10),'CPSXKD 622'!$F122,0)</f>
        <v>0</v>
      </c>
      <c r="J122" s="192">
        <f>IF(AND($F122&lt;&gt;0,LEFT('CHUNG TU'!$J113,LEN('CPSXKD 622'!J$10))='CPSXKD 622'!J$10),'CPSXKD 622'!$F122,0)</f>
        <v>0</v>
      </c>
      <c r="K122" s="192">
        <f t="shared" si="2"/>
        <v>0</v>
      </c>
      <c r="L122" s="201">
        <f>IF(F122&lt;&gt;0,'CHUNG TU'!J113,"")</f>
      </c>
      <c r="M122" s="192">
        <f>IF(LEFT('CHUNG TU'!J113,3)='CPSXKD 622'!$H$7,'CHUNG TU'!$L113,0)</f>
        <v>0</v>
      </c>
      <c r="N122" s="192">
        <f>IF(M122&lt;&gt;0,'CHUNG TU'!I113,"")</f>
      </c>
    </row>
    <row r="123" spans="2:14" ht="12.75">
      <c r="B123" s="192">
        <f>IF($F123+$M123&lt;&gt;0,'CHUNG TU'!A114,"")</f>
      </c>
      <c r="C123" s="192">
        <f>IF($F123+$M123&lt;&gt;0,IF('CHUNG TU'!B114&lt;&gt;"",'CHUNG TU'!B114,IF('CHUNG TU'!C114&lt;&gt;"",'CHUNG TU'!C114,'CHUNG TU'!D114)),"")</f>
      </c>
      <c r="D123" s="192">
        <f>IF($F123+$M123&lt;&gt;0,'CHUNG TU'!F114,"")</f>
      </c>
      <c r="E123" s="192">
        <f>IF($F123+$M123&lt;&gt;0,'CHUNG TU'!H114,"")</f>
      </c>
      <c r="F123" s="192">
        <f>IF(LEFT('CHUNG TU'!I114,3)='CPSXKD 622'!$H$7,'CHUNG TU'!$L114,0)</f>
        <v>0</v>
      </c>
      <c r="G123" s="192">
        <f>IF(AND($F123&lt;&gt;0,LEFT('CHUNG TU'!$J114,LEN('CPSXKD 622'!G$10))='CPSXKD 622'!G$10),'CPSXKD 622'!$F123,0)</f>
        <v>0</v>
      </c>
      <c r="H123" s="192">
        <f>IF(AND($F123&lt;&gt;0,LEFT('CHUNG TU'!$J114,LEN('CPSXKD 622'!H$10))='CPSXKD 622'!H$10),'CPSXKD 622'!$F123,0)</f>
        <v>0</v>
      </c>
      <c r="I123" s="192">
        <f>IF(AND($F123&lt;&gt;0,LEFT('CHUNG TU'!$J114,LEN('CPSXKD 622'!I$10))='CPSXKD 622'!I$10),'CPSXKD 622'!$F123,0)</f>
        <v>0</v>
      </c>
      <c r="J123" s="192">
        <f>IF(AND($F123&lt;&gt;0,LEFT('CHUNG TU'!$J114,LEN('CPSXKD 622'!J$10))='CPSXKD 622'!J$10),'CPSXKD 622'!$F123,0)</f>
        <v>0</v>
      </c>
      <c r="K123" s="192">
        <f t="shared" si="2"/>
        <v>0</v>
      </c>
      <c r="L123" s="201">
        <f>IF(F123&lt;&gt;0,'CHUNG TU'!J114,"")</f>
      </c>
      <c r="M123" s="192">
        <f>IF(LEFT('CHUNG TU'!J114,3)='CPSXKD 622'!$H$7,'CHUNG TU'!$L114,0)</f>
        <v>0</v>
      </c>
      <c r="N123" s="192">
        <f>IF(M123&lt;&gt;0,'CHUNG TU'!I114,"")</f>
      </c>
    </row>
    <row r="124" spans="2:14" ht="12.75">
      <c r="B124" s="192">
        <f>IF($F124+$M124&lt;&gt;0,'CHUNG TU'!A115,"")</f>
      </c>
      <c r="C124" s="192">
        <f>IF($F124+$M124&lt;&gt;0,IF('CHUNG TU'!B115&lt;&gt;"",'CHUNG TU'!B115,IF('CHUNG TU'!C115&lt;&gt;"",'CHUNG TU'!C115,'CHUNG TU'!D115)),"")</f>
      </c>
      <c r="D124" s="192">
        <f>IF($F124+$M124&lt;&gt;0,'CHUNG TU'!F115,"")</f>
      </c>
      <c r="E124" s="192">
        <f>IF($F124+$M124&lt;&gt;0,'CHUNG TU'!H115,"")</f>
      </c>
      <c r="F124" s="192">
        <f>IF(LEFT('CHUNG TU'!I115,3)='CPSXKD 622'!$H$7,'CHUNG TU'!$L115,0)</f>
        <v>0</v>
      </c>
      <c r="G124" s="192">
        <f>IF(AND($F124&lt;&gt;0,LEFT('CHUNG TU'!$J115,LEN('CPSXKD 622'!G$10))='CPSXKD 622'!G$10),'CPSXKD 622'!$F124,0)</f>
        <v>0</v>
      </c>
      <c r="H124" s="192">
        <f>IF(AND($F124&lt;&gt;0,LEFT('CHUNG TU'!$J115,LEN('CPSXKD 622'!H$10))='CPSXKD 622'!H$10),'CPSXKD 622'!$F124,0)</f>
        <v>0</v>
      </c>
      <c r="I124" s="192">
        <f>IF(AND($F124&lt;&gt;0,LEFT('CHUNG TU'!$J115,LEN('CPSXKD 622'!I$10))='CPSXKD 622'!I$10),'CPSXKD 622'!$F124,0)</f>
        <v>0</v>
      </c>
      <c r="J124" s="192">
        <f>IF(AND($F124&lt;&gt;0,LEFT('CHUNG TU'!$J115,LEN('CPSXKD 622'!J$10))='CPSXKD 622'!J$10),'CPSXKD 622'!$F124,0)</f>
        <v>0</v>
      </c>
      <c r="K124" s="192">
        <f t="shared" si="2"/>
        <v>0</v>
      </c>
      <c r="L124" s="201">
        <f>IF(F124&lt;&gt;0,'CHUNG TU'!J115,"")</f>
      </c>
      <c r="M124" s="192">
        <f>IF(LEFT('CHUNG TU'!J115,3)='CPSXKD 622'!$H$7,'CHUNG TU'!$L115,0)</f>
        <v>0</v>
      </c>
      <c r="N124" s="192">
        <f>IF(M124&lt;&gt;0,'CHUNG TU'!I115,"")</f>
      </c>
    </row>
    <row r="125" spans="2:14" ht="12.75">
      <c r="B125" s="192">
        <f>IF($F125+$M125&lt;&gt;0,'CHUNG TU'!A116,"")</f>
      </c>
      <c r="C125" s="192">
        <f>IF($F125+$M125&lt;&gt;0,IF('CHUNG TU'!B116&lt;&gt;"",'CHUNG TU'!B116,IF('CHUNG TU'!C116&lt;&gt;"",'CHUNG TU'!C116,'CHUNG TU'!D116)),"")</f>
      </c>
      <c r="D125" s="192">
        <f>IF($F125+$M125&lt;&gt;0,'CHUNG TU'!F116,"")</f>
      </c>
      <c r="E125" s="192">
        <f>IF($F125+$M125&lt;&gt;0,'CHUNG TU'!H116,"")</f>
      </c>
      <c r="F125" s="192">
        <f>IF(LEFT('CHUNG TU'!I116,3)='CPSXKD 622'!$H$7,'CHUNG TU'!$L116,0)</f>
        <v>0</v>
      </c>
      <c r="G125" s="192">
        <f>IF(AND($F125&lt;&gt;0,LEFT('CHUNG TU'!$J116,LEN('CPSXKD 622'!G$10))='CPSXKD 622'!G$10),'CPSXKD 622'!$F125,0)</f>
        <v>0</v>
      </c>
      <c r="H125" s="192">
        <f>IF(AND($F125&lt;&gt;0,LEFT('CHUNG TU'!$J116,LEN('CPSXKD 622'!H$10))='CPSXKD 622'!H$10),'CPSXKD 622'!$F125,0)</f>
        <v>0</v>
      </c>
      <c r="I125" s="192">
        <f>IF(AND($F125&lt;&gt;0,LEFT('CHUNG TU'!$J116,LEN('CPSXKD 622'!I$10))='CPSXKD 622'!I$10),'CPSXKD 622'!$F125,0)</f>
        <v>0</v>
      </c>
      <c r="J125" s="192">
        <f>IF(AND($F125&lt;&gt;0,LEFT('CHUNG TU'!$J116,LEN('CPSXKD 622'!J$10))='CPSXKD 622'!J$10),'CPSXKD 622'!$F125,0)</f>
        <v>0</v>
      </c>
      <c r="K125" s="192">
        <f t="shared" si="2"/>
        <v>0</v>
      </c>
      <c r="L125" s="201">
        <f>IF(F125&lt;&gt;0,'CHUNG TU'!J116,"")</f>
      </c>
      <c r="M125" s="192">
        <f>IF(LEFT('CHUNG TU'!J116,3)='CPSXKD 622'!$H$7,'CHUNG TU'!$L116,0)</f>
        <v>0</v>
      </c>
      <c r="N125" s="192">
        <f>IF(M125&lt;&gt;0,'CHUNG TU'!I116,"")</f>
      </c>
    </row>
    <row r="126" spans="2:14" ht="12.75">
      <c r="B126" s="192">
        <f>IF($F126+$M126&lt;&gt;0,'CHUNG TU'!A117,"")</f>
      </c>
      <c r="C126" s="192">
        <f>IF($F126+$M126&lt;&gt;0,IF('CHUNG TU'!B117&lt;&gt;"",'CHUNG TU'!B117,IF('CHUNG TU'!C117&lt;&gt;"",'CHUNG TU'!C117,'CHUNG TU'!D117)),"")</f>
      </c>
      <c r="D126" s="192">
        <f>IF($F126+$M126&lt;&gt;0,'CHUNG TU'!F117,"")</f>
      </c>
      <c r="E126" s="192">
        <f>IF($F126+$M126&lt;&gt;0,'CHUNG TU'!H117,"")</f>
      </c>
      <c r="F126" s="192">
        <f>IF(LEFT('CHUNG TU'!I117,3)='CPSXKD 622'!$H$7,'CHUNG TU'!$L117,0)</f>
        <v>0</v>
      </c>
      <c r="G126" s="192">
        <f>IF(AND($F126&lt;&gt;0,LEFT('CHUNG TU'!$J117,LEN('CPSXKD 622'!G$10))='CPSXKD 622'!G$10),'CPSXKD 622'!$F126,0)</f>
        <v>0</v>
      </c>
      <c r="H126" s="192">
        <f>IF(AND($F126&lt;&gt;0,LEFT('CHUNG TU'!$J117,LEN('CPSXKD 622'!H$10))='CPSXKD 622'!H$10),'CPSXKD 622'!$F126,0)</f>
        <v>0</v>
      </c>
      <c r="I126" s="192">
        <f>IF(AND($F126&lt;&gt;0,LEFT('CHUNG TU'!$J117,LEN('CPSXKD 622'!I$10))='CPSXKD 622'!I$10),'CPSXKD 622'!$F126,0)</f>
        <v>0</v>
      </c>
      <c r="J126" s="192">
        <f>IF(AND($F126&lt;&gt;0,LEFT('CHUNG TU'!$J117,LEN('CPSXKD 622'!J$10))='CPSXKD 622'!J$10),'CPSXKD 622'!$F126,0)</f>
        <v>0</v>
      </c>
      <c r="K126" s="192">
        <f t="shared" si="2"/>
        <v>0</v>
      </c>
      <c r="L126" s="201">
        <f>IF(F126&lt;&gt;0,'CHUNG TU'!J117,"")</f>
      </c>
      <c r="M126" s="192">
        <f>IF(LEFT('CHUNG TU'!J117,3)='CPSXKD 622'!$H$7,'CHUNG TU'!$L117,0)</f>
        <v>0</v>
      </c>
      <c r="N126" s="192">
        <f>IF(M126&lt;&gt;0,'CHUNG TU'!I117,"")</f>
      </c>
    </row>
    <row r="127" spans="2:14" ht="12.75">
      <c r="B127" s="192">
        <f>IF($F127+$M127&lt;&gt;0,'CHUNG TU'!A118,"")</f>
      </c>
      <c r="C127" s="192">
        <f>IF($F127+$M127&lt;&gt;0,IF('CHUNG TU'!B118&lt;&gt;"",'CHUNG TU'!B118,IF('CHUNG TU'!C118&lt;&gt;"",'CHUNG TU'!C118,'CHUNG TU'!D118)),"")</f>
      </c>
      <c r="D127" s="192">
        <f>IF($F127+$M127&lt;&gt;0,'CHUNG TU'!F118,"")</f>
      </c>
      <c r="E127" s="192">
        <f>IF($F127+$M127&lt;&gt;0,'CHUNG TU'!H118,"")</f>
      </c>
      <c r="F127" s="192">
        <f>IF(LEFT('CHUNG TU'!I118,3)='CPSXKD 622'!$H$7,'CHUNG TU'!$L118,0)</f>
        <v>0</v>
      </c>
      <c r="G127" s="192">
        <f>IF(AND($F127&lt;&gt;0,LEFT('CHUNG TU'!$J118,LEN('CPSXKD 622'!G$10))='CPSXKD 622'!G$10),'CPSXKD 622'!$F127,0)</f>
        <v>0</v>
      </c>
      <c r="H127" s="192">
        <f>IF(AND($F127&lt;&gt;0,LEFT('CHUNG TU'!$J118,LEN('CPSXKD 622'!H$10))='CPSXKD 622'!H$10),'CPSXKD 622'!$F127,0)</f>
        <v>0</v>
      </c>
      <c r="I127" s="192">
        <f>IF(AND($F127&lt;&gt;0,LEFT('CHUNG TU'!$J118,LEN('CPSXKD 622'!I$10))='CPSXKD 622'!I$10),'CPSXKD 622'!$F127,0)</f>
        <v>0</v>
      </c>
      <c r="J127" s="192">
        <f>IF(AND($F127&lt;&gt;0,LEFT('CHUNG TU'!$J118,LEN('CPSXKD 622'!J$10))='CPSXKD 622'!J$10),'CPSXKD 622'!$F127,0)</f>
        <v>0</v>
      </c>
      <c r="K127" s="192">
        <f t="shared" si="2"/>
        <v>0</v>
      </c>
      <c r="L127" s="201">
        <f>IF(F127&lt;&gt;0,'CHUNG TU'!J118,"")</f>
      </c>
      <c r="M127" s="192">
        <f>IF(LEFT('CHUNG TU'!J118,3)='CPSXKD 622'!$H$7,'CHUNG TU'!$L118,0)</f>
        <v>0</v>
      </c>
      <c r="N127" s="192">
        <f>IF(M127&lt;&gt;0,'CHUNG TU'!I118,"")</f>
      </c>
    </row>
    <row r="128" spans="2:14" ht="12.75">
      <c r="B128" s="192">
        <f>IF($F128+$M128&lt;&gt;0,'CHUNG TU'!A119,"")</f>
      </c>
      <c r="C128" s="192">
        <f>IF($F128+$M128&lt;&gt;0,IF('CHUNG TU'!B119&lt;&gt;"",'CHUNG TU'!B119,IF('CHUNG TU'!C119&lt;&gt;"",'CHUNG TU'!C119,'CHUNG TU'!D119)),"")</f>
      </c>
      <c r="D128" s="192">
        <f>IF($F128+$M128&lt;&gt;0,'CHUNG TU'!F119,"")</f>
      </c>
      <c r="E128" s="192">
        <f>IF($F128+$M128&lt;&gt;0,'CHUNG TU'!H119,"")</f>
      </c>
      <c r="F128" s="192">
        <f>IF(LEFT('CHUNG TU'!I119,3)='CPSXKD 622'!$H$7,'CHUNG TU'!$L119,0)</f>
        <v>0</v>
      </c>
      <c r="G128" s="192">
        <f>IF(AND($F128&lt;&gt;0,LEFT('CHUNG TU'!$J119,LEN('CPSXKD 622'!G$10))='CPSXKD 622'!G$10),'CPSXKD 622'!$F128,0)</f>
        <v>0</v>
      </c>
      <c r="H128" s="192">
        <f>IF(AND($F128&lt;&gt;0,LEFT('CHUNG TU'!$J119,LEN('CPSXKD 622'!H$10))='CPSXKD 622'!H$10),'CPSXKD 622'!$F128,0)</f>
        <v>0</v>
      </c>
      <c r="I128" s="192">
        <f>IF(AND($F128&lt;&gt;0,LEFT('CHUNG TU'!$J119,LEN('CPSXKD 622'!I$10))='CPSXKD 622'!I$10),'CPSXKD 622'!$F128,0)</f>
        <v>0</v>
      </c>
      <c r="J128" s="192">
        <f>IF(AND($F128&lt;&gt;0,LEFT('CHUNG TU'!$J119,LEN('CPSXKD 622'!J$10))='CPSXKD 622'!J$10),'CPSXKD 622'!$F128,0)</f>
        <v>0</v>
      </c>
      <c r="K128" s="192">
        <f t="shared" si="2"/>
        <v>0</v>
      </c>
      <c r="L128" s="201">
        <f>IF(F128&lt;&gt;0,'CHUNG TU'!J119,"")</f>
      </c>
      <c r="M128" s="192">
        <f>IF(LEFT('CHUNG TU'!J119,3)='CPSXKD 622'!$H$7,'CHUNG TU'!$L119,0)</f>
        <v>0</v>
      </c>
      <c r="N128" s="192">
        <f>IF(M128&lt;&gt;0,'CHUNG TU'!I119,"")</f>
      </c>
    </row>
    <row r="129" spans="2:14" ht="12.75">
      <c r="B129" s="192">
        <f>IF($F129+$M129&lt;&gt;0,'CHUNG TU'!A120,"")</f>
      </c>
      <c r="C129" s="192">
        <f>IF($F129+$M129&lt;&gt;0,IF('CHUNG TU'!B120&lt;&gt;"",'CHUNG TU'!B120,IF('CHUNG TU'!C120&lt;&gt;"",'CHUNG TU'!C120,'CHUNG TU'!D120)),"")</f>
      </c>
      <c r="D129" s="192">
        <f>IF($F129+$M129&lt;&gt;0,'CHUNG TU'!F120,"")</f>
      </c>
      <c r="E129" s="192">
        <f>IF($F129+$M129&lt;&gt;0,'CHUNG TU'!H120,"")</f>
      </c>
      <c r="F129" s="192">
        <f>IF(LEFT('CHUNG TU'!I120,3)='CPSXKD 622'!$H$7,'CHUNG TU'!$L120,0)</f>
        <v>0</v>
      </c>
      <c r="G129" s="192">
        <f>IF(AND($F129&lt;&gt;0,LEFT('CHUNG TU'!$J120,LEN('CPSXKD 622'!G$10))='CPSXKD 622'!G$10),'CPSXKD 622'!$F129,0)</f>
        <v>0</v>
      </c>
      <c r="H129" s="192">
        <f>IF(AND($F129&lt;&gt;0,LEFT('CHUNG TU'!$J120,LEN('CPSXKD 622'!H$10))='CPSXKD 622'!H$10),'CPSXKD 622'!$F129,0)</f>
        <v>0</v>
      </c>
      <c r="I129" s="192">
        <f>IF(AND($F129&lt;&gt;0,LEFT('CHUNG TU'!$J120,LEN('CPSXKD 622'!I$10))='CPSXKD 622'!I$10),'CPSXKD 622'!$F129,0)</f>
        <v>0</v>
      </c>
      <c r="J129" s="192">
        <f>IF(AND($F129&lt;&gt;0,LEFT('CHUNG TU'!$J120,LEN('CPSXKD 622'!J$10))='CPSXKD 622'!J$10),'CPSXKD 622'!$F129,0)</f>
        <v>0</v>
      </c>
      <c r="K129" s="192">
        <f t="shared" si="2"/>
        <v>0</v>
      </c>
      <c r="L129" s="201">
        <f>IF(F129&lt;&gt;0,'CHUNG TU'!J120,"")</f>
      </c>
      <c r="M129" s="192">
        <f>IF(LEFT('CHUNG TU'!J120,3)='CPSXKD 622'!$H$7,'CHUNG TU'!$L120,0)</f>
        <v>0</v>
      </c>
      <c r="N129" s="192">
        <f>IF(M129&lt;&gt;0,'CHUNG TU'!I120,"")</f>
      </c>
    </row>
    <row r="130" spans="2:14" ht="12.75">
      <c r="B130" s="192">
        <f>IF($F130+$M130&lt;&gt;0,'CHUNG TU'!A121,"")</f>
      </c>
      <c r="C130" s="192">
        <f>IF($F130+$M130&lt;&gt;0,IF('CHUNG TU'!B121&lt;&gt;"",'CHUNG TU'!B121,IF('CHUNG TU'!C121&lt;&gt;"",'CHUNG TU'!C121,'CHUNG TU'!D121)),"")</f>
      </c>
      <c r="D130" s="192">
        <f>IF($F130+$M130&lt;&gt;0,'CHUNG TU'!F121,"")</f>
      </c>
      <c r="E130" s="192">
        <f>IF($F130+$M130&lt;&gt;0,'CHUNG TU'!H121,"")</f>
      </c>
      <c r="F130" s="192">
        <f>IF(LEFT('CHUNG TU'!I121,3)='CPSXKD 622'!$H$7,'CHUNG TU'!$L121,0)</f>
        <v>0</v>
      </c>
      <c r="G130" s="192">
        <f>IF(AND($F130&lt;&gt;0,LEFT('CHUNG TU'!$J121,LEN('CPSXKD 622'!G$10))='CPSXKD 622'!G$10),'CPSXKD 622'!$F130,0)</f>
        <v>0</v>
      </c>
      <c r="H130" s="192">
        <f>IF(AND($F130&lt;&gt;0,LEFT('CHUNG TU'!$J121,LEN('CPSXKD 622'!H$10))='CPSXKD 622'!H$10),'CPSXKD 622'!$F130,0)</f>
        <v>0</v>
      </c>
      <c r="I130" s="192">
        <f>IF(AND($F130&lt;&gt;0,LEFT('CHUNG TU'!$J121,LEN('CPSXKD 622'!I$10))='CPSXKD 622'!I$10),'CPSXKD 622'!$F130,0)</f>
        <v>0</v>
      </c>
      <c r="J130" s="192">
        <f>IF(AND($F130&lt;&gt;0,LEFT('CHUNG TU'!$J121,LEN('CPSXKD 622'!J$10))='CPSXKD 622'!J$10),'CPSXKD 622'!$F130,0)</f>
        <v>0</v>
      </c>
      <c r="K130" s="192">
        <f t="shared" si="2"/>
        <v>0</v>
      </c>
      <c r="L130" s="201">
        <f>IF(F130&lt;&gt;0,'CHUNG TU'!J121,"")</f>
      </c>
      <c r="M130" s="192">
        <f>IF(LEFT('CHUNG TU'!J121,3)='CPSXKD 622'!$H$7,'CHUNG TU'!$L121,0)</f>
        <v>0</v>
      </c>
      <c r="N130" s="192">
        <f>IF(M130&lt;&gt;0,'CHUNG TU'!I121,"")</f>
      </c>
    </row>
    <row r="131" spans="2:14" ht="12.75">
      <c r="B131" s="192">
        <f>IF($F131+$M131&lt;&gt;0,'CHUNG TU'!A122,"")</f>
      </c>
      <c r="C131" s="192">
        <f>IF($F131+$M131&lt;&gt;0,IF('CHUNG TU'!B122&lt;&gt;"",'CHUNG TU'!B122,IF('CHUNG TU'!C122&lt;&gt;"",'CHUNG TU'!C122,'CHUNG TU'!D122)),"")</f>
      </c>
      <c r="D131" s="192">
        <f>IF($F131+$M131&lt;&gt;0,'CHUNG TU'!F122,"")</f>
      </c>
      <c r="E131" s="192">
        <f>IF($F131+$M131&lt;&gt;0,'CHUNG TU'!H122,"")</f>
      </c>
      <c r="F131" s="192">
        <f>IF(LEFT('CHUNG TU'!I122,3)='CPSXKD 622'!$H$7,'CHUNG TU'!$L122,0)</f>
        <v>0</v>
      </c>
      <c r="G131" s="192">
        <f>IF(AND($F131&lt;&gt;0,LEFT('CHUNG TU'!$J122,LEN('CPSXKD 622'!G$10))='CPSXKD 622'!G$10),'CPSXKD 622'!$F131,0)</f>
        <v>0</v>
      </c>
      <c r="H131" s="192">
        <f>IF(AND($F131&lt;&gt;0,LEFT('CHUNG TU'!$J122,LEN('CPSXKD 622'!H$10))='CPSXKD 622'!H$10),'CPSXKD 622'!$F131,0)</f>
        <v>0</v>
      </c>
      <c r="I131" s="192">
        <f>IF(AND($F131&lt;&gt;0,LEFT('CHUNG TU'!$J122,LEN('CPSXKD 622'!I$10))='CPSXKD 622'!I$10),'CPSXKD 622'!$F131,0)</f>
        <v>0</v>
      </c>
      <c r="J131" s="192">
        <f>IF(AND($F131&lt;&gt;0,LEFT('CHUNG TU'!$J122,LEN('CPSXKD 622'!J$10))='CPSXKD 622'!J$10),'CPSXKD 622'!$F131,0)</f>
        <v>0</v>
      </c>
      <c r="K131" s="192">
        <f t="shared" si="2"/>
        <v>0</v>
      </c>
      <c r="L131" s="201">
        <f>IF(F131&lt;&gt;0,'CHUNG TU'!J122,"")</f>
      </c>
      <c r="M131" s="192">
        <f>IF(LEFT('CHUNG TU'!J122,3)='CPSXKD 622'!$H$7,'CHUNG TU'!$L122,0)</f>
        <v>0</v>
      </c>
      <c r="N131" s="192">
        <f>IF(M131&lt;&gt;0,'CHUNG TU'!I122,"")</f>
      </c>
    </row>
    <row r="132" spans="2:14" ht="12.75">
      <c r="B132" s="192">
        <f>IF($F132+$M132&lt;&gt;0,'CHUNG TU'!A123,"")</f>
      </c>
      <c r="C132" s="192">
        <f>IF($F132+$M132&lt;&gt;0,IF('CHUNG TU'!B123&lt;&gt;"",'CHUNG TU'!B123,IF('CHUNG TU'!C123&lt;&gt;"",'CHUNG TU'!C123,'CHUNG TU'!D123)),"")</f>
      </c>
      <c r="D132" s="192">
        <f>IF($F132+$M132&lt;&gt;0,'CHUNG TU'!F123,"")</f>
      </c>
      <c r="E132" s="192">
        <f>IF($F132+$M132&lt;&gt;0,'CHUNG TU'!H123,"")</f>
      </c>
      <c r="F132" s="192">
        <f>IF(LEFT('CHUNG TU'!I123,3)='CPSXKD 622'!$H$7,'CHUNG TU'!$L123,0)</f>
        <v>0</v>
      </c>
      <c r="G132" s="192">
        <f>IF(AND($F132&lt;&gt;0,LEFT('CHUNG TU'!$J123,LEN('CPSXKD 622'!G$10))='CPSXKD 622'!G$10),'CPSXKD 622'!$F132,0)</f>
        <v>0</v>
      </c>
      <c r="H132" s="192">
        <f>IF(AND($F132&lt;&gt;0,LEFT('CHUNG TU'!$J123,LEN('CPSXKD 622'!H$10))='CPSXKD 622'!H$10),'CPSXKD 622'!$F132,0)</f>
        <v>0</v>
      </c>
      <c r="I132" s="192">
        <f>IF(AND($F132&lt;&gt;0,LEFT('CHUNG TU'!$J123,LEN('CPSXKD 622'!I$10))='CPSXKD 622'!I$10),'CPSXKD 622'!$F132,0)</f>
        <v>0</v>
      </c>
      <c r="J132" s="192">
        <f>IF(AND($F132&lt;&gt;0,LEFT('CHUNG TU'!$J123,LEN('CPSXKD 622'!J$10))='CPSXKD 622'!J$10),'CPSXKD 622'!$F132,0)</f>
        <v>0</v>
      </c>
      <c r="K132" s="192">
        <f t="shared" si="2"/>
        <v>0</v>
      </c>
      <c r="L132" s="201">
        <f>IF(F132&lt;&gt;0,'CHUNG TU'!J123,"")</f>
      </c>
      <c r="M132" s="192">
        <f>IF(LEFT('CHUNG TU'!J123,3)='CPSXKD 622'!$H$7,'CHUNG TU'!$L123,0)</f>
        <v>0</v>
      </c>
      <c r="N132" s="192">
        <f>IF(M132&lt;&gt;0,'CHUNG TU'!I123,"")</f>
      </c>
    </row>
    <row r="133" spans="2:14" ht="12.75">
      <c r="B133" s="192">
        <f>IF($F133+$M133&lt;&gt;0,'CHUNG TU'!A124,"")</f>
      </c>
      <c r="C133" s="192">
        <f>IF($F133+$M133&lt;&gt;0,IF('CHUNG TU'!B124&lt;&gt;"",'CHUNG TU'!B124,IF('CHUNG TU'!C124&lt;&gt;"",'CHUNG TU'!C124,'CHUNG TU'!D124)),"")</f>
      </c>
      <c r="D133" s="192">
        <f>IF($F133+$M133&lt;&gt;0,'CHUNG TU'!F124,"")</f>
      </c>
      <c r="E133" s="192">
        <f>IF($F133+$M133&lt;&gt;0,'CHUNG TU'!H124,"")</f>
      </c>
      <c r="F133" s="192">
        <f>IF(LEFT('CHUNG TU'!I124,3)='CPSXKD 622'!$H$7,'CHUNG TU'!$L124,0)</f>
        <v>0</v>
      </c>
      <c r="G133" s="192">
        <f>IF(AND($F133&lt;&gt;0,LEFT('CHUNG TU'!$J124,LEN('CPSXKD 622'!G$10))='CPSXKD 622'!G$10),'CPSXKD 622'!$F133,0)</f>
        <v>0</v>
      </c>
      <c r="H133" s="192">
        <f>IF(AND($F133&lt;&gt;0,LEFT('CHUNG TU'!$J124,LEN('CPSXKD 622'!H$10))='CPSXKD 622'!H$10),'CPSXKD 622'!$F133,0)</f>
        <v>0</v>
      </c>
      <c r="I133" s="192">
        <f>IF(AND($F133&lt;&gt;0,LEFT('CHUNG TU'!$J124,LEN('CPSXKD 622'!I$10))='CPSXKD 622'!I$10),'CPSXKD 622'!$F133,0)</f>
        <v>0</v>
      </c>
      <c r="J133" s="192">
        <f>IF(AND($F133&lt;&gt;0,LEFT('CHUNG TU'!$J124,LEN('CPSXKD 622'!J$10))='CPSXKD 622'!J$10),'CPSXKD 622'!$F133,0)</f>
        <v>0</v>
      </c>
      <c r="K133" s="192">
        <f t="shared" si="2"/>
        <v>0</v>
      </c>
      <c r="L133" s="201">
        <f>IF(F133&lt;&gt;0,'CHUNG TU'!J124,"")</f>
      </c>
      <c r="M133" s="192">
        <f>IF(LEFT('CHUNG TU'!J124,3)='CPSXKD 622'!$H$7,'CHUNG TU'!$L124,0)</f>
        <v>0</v>
      </c>
      <c r="N133" s="192">
        <f>IF(M133&lt;&gt;0,'CHUNG TU'!I124,"")</f>
      </c>
    </row>
    <row r="134" spans="2:14" ht="12.75">
      <c r="B134" s="192">
        <f>IF($F134+$M134&lt;&gt;0,'CHUNG TU'!A125,"")</f>
      </c>
      <c r="C134" s="192">
        <f>IF($F134+$M134&lt;&gt;0,IF('CHUNG TU'!B125&lt;&gt;"",'CHUNG TU'!B125,IF('CHUNG TU'!C125&lt;&gt;"",'CHUNG TU'!C125,'CHUNG TU'!D125)),"")</f>
      </c>
      <c r="D134" s="192">
        <f>IF($F134+$M134&lt;&gt;0,'CHUNG TU'!F125,"")</f>
      </c>
      <c r="E134" s="192">
        <f>IF($F134+$M134&lt;&gt;0,'CHUNG TU'!H125,"")</f>
      </c>
      <c r="F134" s="192">
        <f>IF(LEFT('CHUNG TU'!I125,3)='CPSXKD 622'!$H$7,'CHUNG TU'!$L125,0)</f>
        <v>0</v>
      </c>
      <c r="G134" s="192">
        <f>IF(AND($F134&lt;&gt;0,LEFT('CHUNG TU'!$J125,LEN('CPSXKD 622'!G$10))='CPSXKD 622'!G$10),'CPSXKD 622'!$F134,0)</f>
        <v>0</v>
      </c>
      <c r="H134" s="192">
        <f>IF(AND($F134&lt;&gt;0,LEFT('CHUNG TU'!$J125,LEN('CPSXKD 622'!H$10))='CPSXKD 622'!H$10),'CPSXKD 622'!$F134,0)</f>
        <v>0</v>
      </c>
      <c r="I134" s="192">
        <f>IF(AND($F134&lt;&gt;0,LEFT('CHUNG TU'!$J125,LEN('CPSXKD 622'!I$10))='CPSXKD 622'!I$10),'CPSXKD 622'!$F134,0)</f>
        <v>0</v>
      </c>
      <c r="J134" s="192">
        <f>IF(AND($F134&lt;&gt;0,LEFT('CHUNG TU'!$J125,LEN('CPSXKD 622'!J$10))='CPSXKD 622'!J$10),'CPSXKD 622'!$F134,0)</f>
        <v>0</v>
      </c>
      <c r="K134" s="192">
        <f t="shared" si="2"/>
        <v>0</v>
      </c>
      <c r="L134" s="201">
        <f>IF(F134&lt;&gt;0,'CHUNG TU'!J125,"")</f>
      </c>
      <c r="M134" s="192">
        <f>IF(LEFT('CHUNG TU'!J125,3)='CPSXKD 622'!$H$7,'CHUNG TU'!$L125,0)</f>
        <v>0</v>
      </c>
      <c r="N134" s="192">
        <f>IF(M134&lt;&gt;0,'CHUNG TU'!I125,"")</f>
      </c>
    </row>
    <row r="135" spans="2:14" ht="12.75">
      <c r="B135" s="192">
        <f>IF($F135+$M135&lt;&gt;0,'CHUNG TU'!A126,"")</f>
      </c>
      <c r="C135" s="192">
        <f>IF($F135+$M135&lt;&gt;0,IF('CHUNG TU'!B126&lt;&gt;"",'CHUNG TU'!B126,IF('CHUNG TU'!C126&lt;&gt;"",'CHUNG TU'!C126,'CHUNG TU'!D126)),"")</f>
      </c>
      <c r="D135" s="192">
        <f>IF($F135+$M135&lt;&gt;0,'CHUNG TU'!F126,"")</f>
      </c>
      <c r="E135" s="192">
        <f>IF($F135+$M135&lt;&gt;0,'CHUNG TU'!H126,"")</f>
      </c>
      <c r="F135" s="192">
        <f>IF(LEFT('CHUNG TU'!I126,3)='CPSXKD 622'!$H$7,'CHUNG TU'!$L126,0)</f>
        <v>0</v>
      </c>
      <c r="G135" s="192">
        <f>IF(AND($F135&lt;&gt;0,LEFT('CHUNG TU'!$J126,LEN('CPSXKD 622'!G$10))='CPSXKD 622'!G$10),'CPSXKD 622'!$F135,0)</f>
        <v>0</v>
      </c>
      <c r="H135" s="192">
        <f>IF(AND($F135&lt;&gt;0,LEFT('CHUNG TU'!$J126,LEN('CPSXKD 622'!H$10))='CPSXKD 622'!H$10),'CPSXKD 622'!$F135,0)</f>
        <v>0</v>
      </c>
      <c r="I135" s="192">
        <f>IF(AND($F135&lt;&gt;0,LEFT('CHUNG TU'!$J126,LEN('CPSXKD 622'!I$10))='CPSXKD 622'!I$10),'CPSXKD 622'!$F135,0)</f>
        <v>0</v>
      </c>
      <c r="J135" s="192">
        <f>IF(AND($F135&lt;&gt;0,LEFT('CHUNG TU'!$J126,LEN('CPSXKD 622'!J$10))='CPSXKD 622'!J$10),'CPSXKD 622'!$F135,0)</f>
        <v>0</v>
      </c>
      <c r="K135" s="192">
        <f t="shared" si="2"/>
        <v>0</v>
      </c>
      <c r="L135" s="201">
        <f>IF(F135&lt;&gt;0,'CHUNG TU'!J126,"")</f>
      </c>
      <c r="M135" s="192">
        <f>IF(LEFT('CHUNG TU'!J126,3)='CPSXKD 622'!$H$7,'CHUNG TU'!$L126,0)</f>
        <v>0</v>
      </c>
      <c r="N135" s="192">
        <f>IF(M135&lt;&gt;0,'CHUNG TU'!I126,"")</f>
      </c>
    </row>
    <row r="136" spans="2:14" ht="12.75">
      <c r="B136" s="192">
        <f>IF($F136+$M136&lt;&gt;0,'CHUNG TU'!A127,"")</f>
      </c>
      <c r="C136" s="192">
        <f>IF($F136+$M136&lt;&gt;0,IF('CHUNG TU'!B127&lt;&gt;"",'CHUNG TU'!B127,IF('CHUNG TU'!C127&lt;&gt;"",'CHUNG TU'!C127,'CHUNG TU'!D127)),"")</f>
      </c>
      <c r="D136" s="192">
        <f>IF($F136+$M136&lt;&gt;0,'CHUNG TU'!F127,"")</f>
      </c>
      <c r="E136" s="192">
        <f>IF($F136+$M136&lt;&gt;0,'CHUNG TU'!H127,"")</f>
      </c>
      <c r="F136" s="192">
        <f>IF(LEFT('CHUNG TU'!I127,3)='CPSXKD 622'!$H$7,'CHUNG TU'!$L127,0)</f>
        <v>0</v>
      </c>
      <c r="G136" s="192">
        <f>IF(AND($F136&lt;&gt;0,LEFT('CHUNG TU'!$J127,LEN('CPSXKD 622'!G$10))='CPSXKD 622'!G$10),'CPSXKD 622'!$F136,0)</f>
        <v>0</v>
      </c>
      <c r="H136" s="192">
        <f>IF(AND($F136&lt;&gt;0,LEFT('CHUNG TU'!$J127,LEN('CPSXKD 622'!H$10))='CPSXKD 622'!H$10),'CPSXKD 622'!$F136,0)</f>
        <v>0</v>
      </c>
      <c r="I136" s="192">
        <f>IF(AND($F136&lt;&gt;0,LEFT('CHUNG TU'!$J127,LEN('CPSXKD 622'!I$10))='CPSXKD 622'!I$10),'CPSXKD 622'!$F136,0)</f>
        <v>0</v>
      </c>
      <c r="J136" s="192">
        <f>IF(AND($F136&lt;&gt;0,LEFT('CHUNG TU'!$J127,LEN('CPSXKD 622'!J$10))='CPSXKD 622'!J$10),'CPSXKD 622'!$F136,0)</f>
        <v>0</v>
      </c>
      <c r="K136" s="192">
        <f t="shared" si="2"/>
        <v>0</v>
      </c>
      <c r="L136" s="201">
        <f>IF(F136&lt;&gt;0,'CHUNG TU'!J127,"")</f>
      </c>
      <c r="M136" s="192">
        <f>IF(LEFT('CHUNG TU'!J127,3)='CPSXKD 622'!$H$7,'CHUNG TU'!$L127,0)</f>
        <v>0</v>
      </c>
      <c r="N136" s="192">
        <f>IF(M136&lt;&gt;0,'CHUNG TU'!I127,"")</f>
      </c>
    </row>
    <row r="137" spans="2:14" ht="12.75">
      <c r="B137" s="192">
        <f>IF($F137+$M137&lt;&gt;0,'CHUNG TU'!A128,"")</f>
      </c>
      <c r="C137" s="192">
        <f>IF($F137+$M137&lt;&gt;0,IF('CHUNG TU'!B128&lt;&gt;"",'CHUNG TU'!B128,IF('CHUNG TU'!C128&lt;&gt;"",'CHUNG TU'!C128,'CHUNG TU'!D128)),"")</f>
      </c>
      <c r="D137" s="192">
        <f>IF($F137+$M137&lt;&gt;0,'CHUNG TU'!F128,"")</f>
      </c>
      <c r="E137" s="192">
        <f>IF($F137+$M137&lt;&gt;0,'CHUNG TU'!H128,"")</f>
      </c>
      <c r="F137" s="192">
        <f>IF(LEFT('CHUNG TU'!I128,3)='CPSXKD 622'!$H$7,'CHUNG TU'!$L128,0)</f>
        <v>0</v>
      </c>
      <c r="G137" s="192">
        <f>IF(AND($F137&lt;&gt;0,LEFT('CHUNG TU'!$J128,LEN('CPSXKD 622'!G$10))='CPSXKD 622'!G$10),'CPSXKD 622'!$F137,0)</f>
        <v>0</v>
      </c>
      <c r="H137" s="192">
        <f>IF(AND($F137&lt;&gt;0,LEFT('CHUNG TU'!$J128,LEN('CPSXKD 622'!H$10))='CPSXKD 622'!H$10),'CPSXKD 622'!$F137,0)</f>
        <v>0</v>
      </c>
      <c r="I137" s="192">
        <f>IF(AND($F137&lt;&gt;0,LEFT('CHUNG TU'!$J128,LEN('CPSXKD 622'!I$10))='CPSXKD 622'!I$10),'CPSXKD 622'!$F137,0)</f>
        <v>0</v>
      </c>
      <c r="J137" s="192">
        <f>IF(AND($F137&lt;&gt;0,LEFT('CHUNG TU'!$J128,LEN('CPSXKD 622'!J$10))='CPSXKD 622'!J$10),'CPSXKD 622'!$F137,0)</f>
        <v>0</v>
      </c>
      <c r="K137" s="192">
        <f t="shared" si="2"/>
        <v>0</v>
      </c>
      <c r="L137" s="201">
        <f>IF(F137&lt;&gt;0,'CHUNG TU'!J128,"")</f>
      </c>
      <c r="M137" s="192">
        <f>IF(LEFT('CHUNG TU'!J128,3)='CPSXKD 622'!$H$7,'CHUNG TU'!$L128,0)</f>
        <v>0</v>
      </c>
      <c r="N137" s="192">
        <f>IF(M137&lt;&gt;0,'CHUNG TU'!I128,"")</f>
      </c>
    </row>
    <row r="138" spans="2:14" ht="12.75">
      <c r="B138" s="192">
        <f>IF($F138+$M138&lt;&gt;0,'CHUNG TU'!A129,"")</f>
      </c>
      <c r="C138" s="192">
        <f>IF($F138+$M138&lt;&gt;0,IF('CHUNG TU'!B129&lt;&gt;"",'CHUNG TU'!B129,IF('CHUNG TU'!C129&lt;&gt;"",'CHUNG TU'!C129,'CHUNG TU'!D129)),"")</f>
      </c>
      <c r="D138" s="192">
        <f>IF($F138+$M138&lt;&gt;0,'CHUNG TU'!F129,"")</f>
      </c>
      <c r="E138" s="192">
        <f>IF($F138+$M138&lt;&gt;0,'CHUNG TU'!H129,"")</f>
      </c>
      <c r="F138" s="192">
        <f>IF(LEFT('CHUNG TU'!I129,3)='CPSXKD 622'!$H$7,'CHUNG TU'!$L129,0)</f>
        <v>0</v>
      </c>
      <c r="G138" s="192">
        <f>IF(AND($F138&lt;&gt;0,LEFT('CHUNG TU'!$J129,LEN('CPSXKD 622'!G$10))='CPSXKD 622'!G$10),'CPSXKD 622'!$F138,0)</f>
        <v>0</v>
      </c>
      <c r="H138" s="192">
        <f>IF(AND($F138&lt;&gt;0,LEFT('CHUNG TU'!$J129,LEN('CPSXKD 622'!H$10))='CPSXKD 622'!H$10),'CPSXKD 622'!$F138,0)</f>
        <v>0</v>
      </c>
      <c r="I138" s="192">
        <f>IF(AND($F138&lt;&gt;0,LEFT('CHUNG TU'!$J129,LEN('CPSXKD 622'!I$10))='CPSXKD 622'!I$10),'CPSXKD 622'!$F138,0)</f>
        <v>0</v>
      </c>
      <c r="J138" s="192">
        <f>IF(AND($F138&lt;&gt;0,LEFT('CHUNG TU'!$J129,LEN('CPSXKD 622'!J$10))='CPSXKD 622'!J$10),'CPSXKD 622'!$F138,0)</f>
        <v>0</v>
      </c>
      <c r="K138" s="192">
        <f t="shared" si="2"/>
        <v>0</v>
      </c>
      <c r="L138" s="201">
        <f>IF(F138&lt;&gt;0,'CHUNG TU'!J129,"")</f>
      </c>
      <c r="M138" s="192">
        <f>IF(LEFT('CHUNG TU'!J129,3)='CPSXKD 622'!$H$7,'CHUNG TU'!$L129,0)</f>
        <v>0</v>
      </c>
      <c r="N138" s="192">
        <f>IF(M138&lt;&gt;0,'CHUNG TU'!I129,"")</f>
      </c>
    </row>
    <row r="139" spans="2:14" ht="12.75">
      <c r="B139" s="192">
        <f>IF($F139+$M139&lt;&gt;0,'CHUNG TU'!A130,"")</f>
      </c>
      <c r="C139" s="192">
        <f>IF($F139+$M139&lt;&gt;0,IF('CHUNG TU'!B130&lt;&gt;"",'CHUNG TU'!B130,IF('CHUNG TU'!C130&lt;&gt;"",'CHUNG TU'!C130,'CHUNG TU'!D130)),"")</f>
      </c>
      <c r="D139" s="192">
        <f>IF($F139+$M139&lt;&gt;0,'CHUNG TU'!F130,"")</f>
      </c>
      <c r="E139" s="192">
        <f>IF($F139+$M139&lt;&gt;0,'CHUNG TU'!H130,"")</f>
      </c>
      <c r="F139" s="192">
        <f>IF(LEFT('CHUNG TU'!I130,3)='CPSXKD 622'!$H$7,'CHUNG TU'!$L130,0)</f>
        <v>0</v>
      </c>
      <c r="G139" s="192">
        <f>IF(AND($F139&lt;&gt;0,LEFT('CHUNG TU'!$J130,LEN('CPSXKD 622'!G$10))='CPSXKD 622'!G$10),'CPSXKD 622'!$F139,0)</f>
        <v>0</v>
      </c>
      <c r="H139" s="192">
        <f>IF(AND($F139&lt;&gt;0,LEFT('CHUNG TU'!$J130,LEN('CPSXKD 622'!H$10))='CPSXKD 622'!H$10),'CPSXKD 622'!$F139,0)</f>
        <v>0</v>
      </c>
      <c r="I139" s="192">
        <f>IF(AND($F139&lt;&gt;0,LEFT('CHUNG TU'!$J130,LEN('CPSXKD 622'!I$10))='CPSXKD 622'!I$10),'CPSXKD 622'!$F139,0)</f>
        <v>0</v>
      </c>
      <c r="J139" s="192">
        <f>IF(AND($F139&lt;&gt;0,LEFT('CHUNG TU'!$J130,LEN('CPSXKD 622'!J$10))='CPSXKD 622'!J$10),'CPSXKD 622'!$F139,0)</f>
        <v>0</v>
      </c>
      <c r="K139" s="192">
        <f t="shared" si="2"/>
        <v>0</v>
      </c>
      <c r="L139" s="201">
        <f>IF(F139&lt;&gt;0,'CHUNG TU'!J130,"")</f>
      </c>
      <c r="M139" s="192">
        <f>IF(LEFT('CHUNG TU'!J130,3)='CPSXKD 622'!$H$7,'CHUNG TU'!$L130,0)</f>
        <v>0</v>
      </c>
      <c r="N139" s="192">
        <f>IF(M139&lt;&gt;0,'CHUNG TU'!I130,"")</f>
      </c>
    </row>
    <row r="140" spans="2:14" ht="12.75">
      <c r="B140" s="192">
        <f>IF($F140+$M140&lt;&gt;0,'CHUNG TU'!A131,"")</f>
      </c>
      <c r="C140" s="192">
        <f>IF($F140+$M140&lt;&gt;0,IF('CHUNG TU'!B131&lt;&gt;"",'CHUNG TU'!B131,IF('CHUNG TU'!C131&lt;&gt;"",'CHUNG TU'!C131,'CHUNG TU'!D131)),"")</f>
      </c>
      <c r="D140" s="192">
        <f>IF($F140+$M140&lt;&gt;0,'CHUNG TU'!F131,"")</f>
      </c>
      <c r="E140" s="192">
        <f>IF($F140+$M140&lt;&gt;0,'CHUNG TU'!H131,"")</f>
      </c>
      <c r="F140" s="192">
        <f>IF(LEFT('CHUNG TU'!I131,3)='CPSXKD 622'!$H$7,'CHUNG TU'!$L131,0)</f>
        <v>0</v>
      </c>
      <c r="G140" s="192">
        <f>IF(AND($F140&lt;&gt;0,LEFT('CHUNG TU'!$J131,LEN('CPSXKD 622'!G$10))='CPSXKD 622'!G$10),'CPSXKD 622'!$F140,0)</f>
        <v>0</v>
      </c>
      <c r="H140" s="192">
        <f>IF(AND($F140&lt;&gt;0,LEFT('CHUNG TU'!$J131,LEN('CPSXKD 622'!H$10))='CPSXKD 622'!H$10),'CPSXKD 622'!$F140,0)</f>
        <v>0</v>
      </c>
      <c r="I140" s="192">
        <f>IF(AND($F140&lt;&gt;0,LEFT('CHUNG TU'!$J131,LEN('CPSXKD 622'!I$10))='CPSXKD 622'!I$10),'CPSXKD 622'!$F140,0)</f>
        <v>0</v>
      </c>
      <c r="J140" s="192">
        <f>IF(AND($F140&lt;&gt;0,LEFT('CHUNG TU'!$J131,LEN('CPSXKD 622'!J$10))='CPSXKD 622'!J$10),'CPSXKD 622'!$F140,0)</f>
        <v>0</v>
      </c>
      <c r="K140" s="192">
        <f t="shared" si="2"/>
        <v>0</v>
      </c>
      <c r="L140" s="201">
        <f>IF(F140&lt;&gt;0,'CHUNG TU'!J131,"")</f>
      </c>
      <c r="M140" s="192">
        <f>IF(LEFT('CHUNG TU'!J131,3)='CPSXKD 622'!$H$7,'CHUNG TU'!$L131,0)</f>
        <v>0</v>
      </c>
      <c r="N140" s="192">
        <f>IF(M140&lt;&gt;0,'CHUNG TU'!I131,"")</f>
      </c>
    </row>
    <row r="141" spans="2:14" ht="12.75">
      <c r="B141" s="192">
        <f>IF($F141+$M141&lt;&gt;0,'CHUNG TU'!A132,"")</f>
      </c>
      <c r="C141" s="192">
        <f>IF($F141+$M141&lt;&gt;0,IF('CHUNG TU'!B132&lt;&gt;"",'CHUNG TU'!B132,IF('CHUNG TU'!C132&lt;&gt;"",'CHUNG TU'!C132,'CHUNG TU'!D132)),"")</f>
      </c>
      <c r="D141" s="192">
        <f>IF($F141+$M141&lt;&gt;0,'CHUNG TU'!F132,"")</f>
      </c>
      <c r="E141" s="192">
        <f>IF($F141+$M141&lt;&gt;0,'CHUNG TU'!H132,"")</f>
      </c>
      <c r="F141" s="192">
        <f>IF(LEFT('CHUNG TU'!I132,3)='CPSXKD 622'!$H$7,'CHUNG TU'!$L132,0)</f>
        <v>0</v>
      </c>
      <c r="G141" s="192">
        <f>IF(AND($F141&lt;&gt;0,LEFT('CHUNG TU'!$J132,LEN('CPSXKD 622'!G$10))='CPSXKD 622'!G$10),'CPSXKD 622'!$F141,0)</f>
        <v>0</v>
      </c>
      <c r="H141" s="192">
        <f>IF(AND($F141&lt;&gt;0,LEFT('CHUNG TU'!$J132,LEN('CPSXKD 622'!H$10))='CPSXKD 622'!H$10),'CPSXKD 622'!$F141,0)</f>
        <v>0</v>
      </c>
      <c r="I141" s="192">
        <f>IF(AND($F141&lt;&gt;0,LEFT('CHUNG TU'!$J132,LEN('CPSXKD 622'!I$10))='CPSXKD 622'!I$10),'CPSXKD 622'!$F141,0)</f>
        <v>0</v>
      </c>
      <c r="J141" s="192">
        <f>IF(AND($F141&lt;&gt;0,LEFT('CHUNG TU'!$J132,LEN('CPSXKD 622'!J$10))='CPSXKD 622'!J$10),'CPSXKD 622'!$F141,0)</f>
        <v>0</v>
      </c>
      <c r="K141" s="192">
        <f t="shared" si="2"/>
        <v>0</v>
      </c>
      <c r="L141" s="201">
        <f>IF(F141&lt;&gt;0,'CHUNG TU'!J132,"")</f>
      </c>
      <c r="M141" s="192">
        <f>IF(LEFT('CHUNG TU'!J132,3)='CPSXKD 622'!$H$7,'CHUNG TU'!$L132,0)</f>
        <v>0</v>
      </c>
      <c r="N141" s="192">
        <f>IF(M141&lt;&gt;0,'CHUNG TU'!I132,"")</f>
      </c>
    </row>
    <row r="142" spans="2:14" ht="12.75">
      <c r="B142" s="192">
        <f>IF($F142+$M142&lt;&gt;0,'CHUNG TU'!A133,"")</f>
      </c>
      <c r="C142" s="192">
        <f>IF($F142+$M142&lt;&gt;0,IF('CHUNG TU'!B133&lt;&gt;"",'CHUNG TU'!B133,IF('CHUNG TU'!C133&lt;&gt;"",'CHUNG TU'!C133,'CHUNG TU'!D133)),"")</f>
      </c>
      <c r="D142" s="192">
        <f>IF($F142+$M142&lt;&gt;0,'CHUNG TU'!F133,"")</f>
      </c>
      <c r="E142" s="192">
        <f>IF($F142+$M142&lt;&gt;0,'CHUNG TU'!H133,"")</f>
      </c>
      <c r="F142" s="192">
        <f>IF(LEFT('CHUNG TU'!I133,3)='CPSXKD 622'!$H$7,'CHUNG TU'!$L133,0)</f>
        <v>0</v>
      </c>
      <c r="G142" s="192">
        <f>IF(AND($F142&lt;&gt;0,LEFT('CHUNG TU'!$J133,LEN('CPSXKD 622'!G$10))='CPSXKD 622'!G$10),'CPSXKD 622'!$F142,0)</f>
        <v>0</v>
      </c>
      <c r="H142" s="192">
        <f>IF(AND($F142&lt;&gt;0,LEFT('CHUNG TU'!$J133,LEN('CPSXKD 622'!H$10))='CPSXKD 622'!H$10),'CPSXKD 622'!$F142,0)</f>
        <v>0</v>
      </c>
      <c r="I142" s="192">
        <f>IF(AND($F142&lt;&gt;0,LEFT('CHUNG TU'!$J133,LEN('CPSXKD 622'!I$10))='CPSXKD 622'!I$10),'CPSXKD 622'!$F142,0)</f>
        <v>0</v>
      </c>
      <c r="J142" s="192">
        <f>IF(AND($F142&lt;&gt;0,LEFT('CHUNG TU'!$J133,LEN('CPSXKD 622'!J$10))='CPSXKD 622'!J$10),'CPSXKD 622'!$F142,0)</f>
        <v>0</v>
      </c>
      <c r="K142" s="192">
        <f t="shared" si="2"/>
        <v>0</v>
      </c>
      <c r="L142" s="201">
        <f>IF(F142&lt;&gt;0,'CHUNG TU'!J133,"")</f>
      </c>
      <c r="M142" s="192">
        <f>IF(LEFT('CHUNG TU'!J133,3)='CPSXKD 622'!$H$7,'CHUNG TU'!$L133,0)</f>
        <v>0</v>
      </c>
      <c r="N142" s="192">
        <f>IF(M142&lt;&gt;0,'CHUNG TU'!I133,"")</f>
      </c>
    </row>
    <row r="143" spans="2:14" ht="12.75">
      <c r="B143" s="192">
        <f>IF($F143+$M143&lt;&gt;0,'CHUNG TU'!A134,"")</f>
      </c>
      <c r="C143" s="192">
        <f>IF($F143+$M143&lt;&gt;0,IF('CHUNG TU'!B134&lt;&gt;"",'CHUNG TU'!B134,IF('CHUNG TU'!C134&lt;&gt;"",'CHUNG TU'!C134,'CHUNG TU'!D134)),"")</f>
      </c>
      <c r="D143" s="192">
        <f>IF($F143+$M143&lt;&gt;0,'CHUNG TU'!F134,"")</f>
      </c>
      <c r="E143" s="192">
        <f>IF($F143+$M143&lt;&gt;0,'CHUNG TU'!H134,"")</f>
      </c>
      <c r="F143" s="192">
        <f>IF(LEFT('CHUNG TU'!I134,3)='CPSXKD 622'!$H$7,'CHUNG TU'!$L134,0)</f>
        <v>0</v>
      </c>
      <c r="G143" s="192">
        <f>IF(AND($F143&lt;&gt;0,LEFT('CHUNG TU'!$J134,LEN('CPSXKD 622'!G$10))='CPSXKD 622'!G$10),'CPSXKD 622'!$F143,0)</f>
        <v>0</v>
      </c>
      <c r="H143" s="192">
        <f>IF(AND($F143&lt;&gt;0,LEFT('CHUNG TU'!$J134,LEN('CPSXKD 622'!H$10))='CPSXKD 622'!H$10),'CPSXKD 622'!$F143,0)</f>
        <v>0</v>
      </c>
      <c r="I143" s="192">
        <f>IF(AND($F143&lt;&gt;0,LEFT('CHUNG TU'!$J134,LEN('CPSXKD 622'!I$10))='CPSXKD 622'!I$10),'CPSXKD 622'!$F143,0)</f>
        <v>0</v>
      </c>
      <c r="J143" s="192">
        <f>IF(AND($F143&lt;&gt;0,LEFT('CHUNG TU'!$J134,LEN('CPSXKD 622'!J$10))='CPSXKD 622'!J$10),'CPSXKD 622'!$F143,0)</f>
        <v>0</v>
      </c>
      <c r="K143" s="192">
        <f aca="true" t="shared" si="3" ref="K143:K206">F143-SUM(G143:J143)</f>
        <v>0</v>
      </c>
      <c r="L143" s="201">
        <f>IF(F143&lt;&gt;0,'CHUNG TU'!J134,"")</f>
      </c>
      <c r="M143" s="192">
        <f>IF(LEFT('CHUNG TU'!J134,3)='CPSXKD 622'!$H$7,'CHUNG TU'!$L134,0)</f>
        <v>0</v>
      </c>
      <c r="N143" s="192">
        <f>IF(M143&lt;&gt;0,'CHUNG TU'!I134,"")</f>
      </c>
    </row>
    <row r="144" spans="2:14" ht="12.75">
      <c r="B144" s="192">
        <f>IF($F144+$M144&lt;&gt;0,'CHUNG TU'!A135,"")</f>
      </c>
      <c r="C144" s="192">
        <f>IF($F144+$M144&lt;&gt;0,IF('CHUNG TU'!B135&lt;&gt;"",'CHUNG TU'!B135,IF('CHUNG TU'!C135&lt;&gt;"",'CHUNG TU'!C135,'CHUNG TU'!D135)),"")</f>
      </c>
      <c r="D144" s="192">
        <f>IF($F144+$M144&lt;&gt;0,'CHUNG TU'!F135,"")</f>
      </c>
      <c r="E144" s="192">
        <f>IF($F144+$M144&lt;&gt;0,'CHUNG TU'!H135,"")</f>
      </c>
      <c r="F144" s="192">
        <f>IF(LEFT('CHUNG TU'!I135,3)='CPSXKD 622'!$H$7,'CHUNG TU'!$L135,0)</f>
        <v>0</v>
      </c>
      <c r="G144" s="192">
        <f>IF(AND($F144&lt;&gt;0,LEFT('CHUNG TU'!$J135,LEN('CPSXKD 622'!G$10))='CPSXKD 622'!G$10),'CPSXKD 622'!$F144,0)</f>
        <v>0</v>
      </c>
      <c r="H144" s="192">
        <f>IF(AND($F144&lt;&gt;0,LEFT('CHUNG TU'!$J135,LEN('CPSXKD 622'!H$10))='CPSXKD 622'!H$10),'CPSXKD 622'!$F144,0)</f>
        <v>0</v>
      </c>
      <c r="I144" s="192">
        <f>IF(AND($F144&lt;&gt;0,LEFT('CHUNG TU'!$J135,LEN('CPSXKD 622'!I$10))='CPSXKD 622'!I$10),'CPSXKD 622'!$F144,0)</f>
        <v>0</v>
      </c>
      <c r="J144" s="192">
        <f>IF(AND($F144&lt;&gt;0,LEFT('CHUNG TU'!$J135,LEN('CPSXKD 622'!J$10))='CPSXKD 622'!J$10),'CPSXKD 622'!$F144,0)</f>
        <v>0</v>
      </c>
      <c r="K144" s="192">
        <f t="shared" si="3"/>
        <v>0</v>
      </c>
      <c r="L144" s="201">
        <f>IF(F144&lt;&gt;0,'CHUNG TU'!J135,"")</f>
      </c>
      <c r="M144" s="192">
        <f>IF(LEFT('CHUNG TU'!J135,3)='CPSXKD 622'!$H$7,'CHUNG TU'!$L135,0)</f>
        <v>0</v>
      </c>
      <c r="N144" s="192">
        <f>IF(M144&lt;&gt;0,'CHUNG TU'!I135,"")</f>
      </c>
    </row>
    <row r="145" spans="2:14" ht="12.75">
      <c r="B145" s="192">
        <f>IF($F145+$M145&lt;&gt;0,'CHUNG TU'!A136,"")</f>
      </c>
      <c r="C145" s="192">
        <f>IF($F145+$M145&lt;&gt;0,IF('CHUNG TU'!B136&lt;&gt;"",'CHUNG TU'!B136,IF('CHUNG TU'!C136&lt;&gt;"",'CHUNG TU'!C136,'CHUNG TU'!D136)),"")</f>
      </c>
      <c r="D145" s="192">
        <f>IF($F145+$M145&lt;&gt;0,'CHUNG TU'!F136,"")</f>
      </c>
      <c r="E145" s="192">
        <f>IF($F145+$M145&lt;&gt;0,'CHUNG TU'!H136,"")</f>
      </c>
      <c r="F145" s="192">
        <f>IF(LEFT('CHUNG TU'!I136,3)='CPSXKD 622'!$H$7,'CHUNG TU'!$L136,0)</f>
        <v>0</v>
      </c>
      <c r="G145" s="192">
        <f>IF(AND($F145&lt;&gt;0,LEFT('CHUNG TU'!$J136,LEN('CPSXKD 622'!G$10))='CPSXKD 622'!G$10),'CPSXKD 622'!$F145,0)</f>
        <v>0</v>
      </c>
      <c r="H145" s="192">
        <f>IF(AND($F145&lt;&gt;0,LEFT('CHUNG TU'!$J136,LEN('CPSXKD 622'!H$10))='CPSXKD 622'!H$10),'CPSXKD 622'!$F145,0)</f>
        <v>0</v>
      </c>
      <c r="I145" s="192">
        <f>IF(AND($F145&lt;&gt;0,LEFT('CHUNG TU'!$J136,LEN('CPSXKD 622'!I$10))='CPSXKD 622'!I$10),'CPSXKD 622'!$F145,0)</f>
        <v>0</v>
      </c>
      <c r="J145" s="192">
        <f>IF(AND($F145&lt;&gt;0,LEFT('CHUNG TU'!$J136,LEN('CPSXKD 622'!J$10))='CPSXKD 622'!J$10),'CPSXKD 622'!$F145,0)</f>
        <v>0</v>
      </c>
      <c r="K145" s="192">
        <f t="shared" si="3"/>
        <v>0</v>
      </c>
      <c r="L145" s="201">
        <f>IF(F145&lt;&gt;0,'CHUNG TU'!J136,"")</f>
      </c>
      <c r="M145" s="192">
        <f>IF(LEFT('CHUNG TU'!J136,3)='CPSXKD 622'!$H$7,'CHUNG TU'!$L136,0)</f>
        <v>0</v>
      </c>
      <c r="N145" s="192">
        <f>IF(M145&lt;&gt;0,'CHUNG TU'!I136,"")</f>
      </c>
    </row>
    <row r="146" spans="2:14" ht="12.75">
      <c r="B146" s="192">
        <f>IF($F146+$M146&lt;&gt;0,'CHUNG TU'!A137,"")</f>
      </c>
      <c r="C146" s="192">
        <f>IF($F146+$M146&lt;&gt;0,IF('CHUNG TU'!B137&lt;&gt;"",'CHUNG TU'!B137,IF('CHUNG TU'!C137&lt;&gt;"",'CHUNG TU'!C137,'CHUNG TU'!D137)),"")</f>
      </c>
      <c r="D146" s="192">
        <f>IF($F146+$M146&lt;&gt;0,'CHUNG TU'!F137,"")</f>
      </c>
      <c r="E146" s="192">
        <f>IF($F146+$M146&lt;&gt;0,'CHUNG TU'!H137,"")</f>
      </c>
      <c r="F146" s="192">
        <f>IF(LEFT('CHUNG TU'!I137,3)='CPSXKD 622'!$H$7,'CHUNG TU'!$L137,0)</f>
        <v>0</v>
      </c>
      <c r="G146" s="192">
        <f>IF(AND($F146&lt;&gt;0,LEFT('CHUNG TU'!$J137,LEN('CPSXKD 622'!G$10))='CPSXKD 622'!G$10),'CPSXKD 622'!$F146,0)</f>
        <v>0</v>
      </c>
      <c r="H146" s="192">
        <f>IF(AND($F146&lt;&gt;0,LEFT('CHUNG TU'!$J137,LEN('CPSXKD 622'!H$10))='CPSXKD 622'!H$10),'CPSXKD 622'!$F146,0)</f>
        <v>0</v>
      </c>
      <c r="I146" s="192">
        <f>IF(AND($F146&lt;&gt;0,LEFT('CHUNG TU'!$J137,LEN('CPSXKD 622'!I$10))='CPSXKD 622'!I$10),'CPSXKD 622'!$F146,0)</f>
        <v>0</v>
      </c>
      <c r="J146" s="192">
        <f>IF(AND($F146&lt;&gt;0,LEFT('CHUNG TU'!$J137,LEN('CPSXKD 622'!J$10))='CPSXKD 622'!J$10),'CPSXKD 622'!$F146,0)</f>
        <v>0</v>
      </c>
      <c r="K146" s="192">
        <f t="shared" si="3"/>
        <v>0</v>
      </c>
      <c r="L146" s="201">
        <f>IF(F146&lt;&gt;0,'CHUNG TU'!J137,"")</f>
      </c>
      <c r="M146" s="192">
        <f>IF(LEFT('CHUNG TU'!J137,3)='CPSXKD 622'!$H$7,'CHUNG TU'!$L137,0)</f>
        <v>0</v>
      </c>
      <c r="N146" s="192">
        <f>IF(M146&lt;&gt;0,'CHUNG TU'!I137,"")</f>
      </c>
    </row>
    <row r="147" spans="2:14" ht="12.75">
      <c r="B147" s="192">
        <f>IF($F147+$M147&lt;&gt;0,'CHUNG TU'!A138,"")</f>
      </c>
      <c r="C147" s="192">
        <f>IF($F147+$M147&lt;&gt;0,IF('CHUNG TU'!B138&lt;&gt;"",'CHUNG TU'!B138,IF('CHUNG TU'!C138&lt;&gt;"",'CHUNG TU'!C138,'CHUNG TU'!D138)),"")</f>
      </c>
      <c r="D147" s="192">
        <f>IF($F147+$M147&lt;&gt;0,'CHUNG TU'!F138,"")</f>
      </c>
      <c r="E147" s="192">
        <f>IF($F147+$M147&lt;&gt;0,'CHUNG TU'!H138,"")</f>
      </c>
      <c r="F147" s="192">
        <f>IF(LEFT('CHUNG TU'!I138,3)='CPSXKD 622'!$H$7,'CHUNG TU'!$L138,0)</f>
        <v>0</v>
      </c>
      <c r="G147" s="192">
        <f>IF(AND($F147&lt;&gt;0,LEFT('CHUNG TU'!$J138,LEN('CPSXKD 622'!G$10))='CPSXKD 622'!G$10),'CPSXKD 622'!$F147,0)</f>
        <v>0</v>
      </c>
      <c r="H147" s="192">
        <f>IF(AND($F147&lt;&gt;0,LEFT('CHUNG TU'!$J138,LEN('CPSXKD 622'!H$10))='CPSXKD 622'!H$10),'CPSXKD 622'!$F147,0)</f>
        <v>0</v>
      </c>
      <c r="I147" s="192">
        <f>IF(AND($F147&lt;&gt;0,LEFT('CHUNG TU'!$J138,LEN('CPSXKD 622'!I$10))='CPSXKD 622'!I$10),'CPSXKD 622'!$F147,0)</f>
        <v>0</v>
      </c>
      <c r="J147" s="192">
        <f>IF(AND($F147&lt;&gt;0,LEFT('CHUNG TU'!$J138,LEN('CPSXKD 622'!J$10))='CPSXKD 622'!J$10),'CPSXKD 622'!$F147,0)</f>
        <v>0</v>
      </c>
      <c r="K147" s="192">
        <f t="shared" si="3"/>
        <v>0</v>
      </c>
      <c r="L147" s="201">
        <f>IF(F147&lt;&gt;0,'CHUNG TU'!J138,"")</f>
      </c>
      <c r="M147" s="192">
        <f>IF(LEFT('CHUNG TU'!J138,3)='CPSXKD 622'!$H$7,'CHUNG TU'!$L138,0)</f>
        <v>0</v>
      </c>
      <c r="N147" s="192">
        <f>IF(M147&lt;&gt;0,'CHUNG TU'!I138,"")</f>
      </c>
    </row>
    <row r="148" spans="2:14" ht="12.75">
      <c r="B148" s="192">
        <f>IF($F148+$M148&lt;&gt;0,'CHUNG TU'!A139,"")</f>
      </c>
      <c r="C148" s="192">
        <f>IF($F148+$M148&lt;&gt;0,IF('CHUNG TU'!B139&lt;&gt;"",'CHUNG TU'!B139,IF('CHUNG TU'!C139&lt;&gt;"",'CHUNG TU'!C139,'CHUNG TU'!D139)),"")</f>
      </c>
      <c r="D148" s="192">
        <f>IF($F148+$M148&lt;&gt;0,'CHUNG TU'!F139,"")</f>
      </c>
      <c r="E148" s="192">
        <f>IF($F148+$M148&lt;&gt;0,'CHUNG TU'!H139,"")</f>
      </c>
      <c r="F148" s="192">
        <f>IF(LEFT('CHUNG TU'!I139,3)='CPSXKD 622'!$H$7,'CHUNG TU'!$L139,0)</f>
        <v>0</v>
      </c>
      <c r="G148" s="192">
        <f>IF(AND($F148&lt;&gt;0,LEFT('CHUNG TU'!$J139,LEN('CPSXKD 622'!G$10))='CPSXKD 622'!G$10),'CPSXKD 622'!$F148,0)</f>
        <v>0</v>
      </c>
      <c r="H148" s="192">
        <f>IF(AND($F148&lt;&gt;0,LEFT('CHUNG TU'!$J139,LEN('CPSXKD 622'!H$10))='CPSXKD 622'!H$10),'CPSXKD 622'!$F148,0)</f>
        <v>0</v>
      </c>
      <c r="I148" s="192">
        <f>IF(AND($F148&lt;&gt;0,LEFT('CHUNG TU'!$J139,LEN('CPSXKD 622'!I$10))='CPSXKD 622'!I$10),'CPSXKD 622'!$F148,0)</f>
        <v>0</v>
      </c>
      <c r="J148" s="192">
        <f>IF(AND($F148&lt;&gt;0,LEFT('CHUNG TU'!$J139,LEN('CPSXKD 622'!J$10))='CPSXKD 622'!J$10),'CPSXKD 622'!$F148,0)</f>
        <v>0</v>
      </c>
      <c r="K148" s="192">
        <f t="shared" si="3"/>
        <v>0</v>
      </c>
      <c r="L148" s="201">
        <f>IF(F148&lt;&gt;0,'CHUNG TU'!J139,"")</f>
      </c>
      <c r="M148" s="192">
        <f>IF(LEFT('CHUNG TU'!J139,3)='CPSXKD 622'!$H$7,'CHUNG TU'!$L139,0)</f>
        <v>0</v>
      </c>
      <c r="N148" s="192">
        <f>IF(M148&lt;&gt;0,'CHUNG TU'!I139,"")</f>
      </c>
    </row>
    <row r="149" spans="2:14" ht="12.75">
      <c r="B149" s="192">
        <f>IF($F149+$M149&lt;&gt;0,'CHUNG TU'!A140,"")</f>
      </c>
      <c r="C149" s="192">
        <f>IF($F149+$M149&lt;&gt;0,IF('CHUNG TU'!B140&lt;&gt;"",'CHUNG TU'!B140,IF('CHUNG TU'!C140&lt;&gt;"",'CHUNG TU'!C140,'CHUNG TU'!D140)),"")</f>
      </c>
      <c r="D149" s="192">
        <f>IF($F149+$M149&lt;&gt;0,'CHUNG TU'!F140,"")</f>
      </c>
      <c r="E149" s="192">
        <f>IF($F149+$M149&lt;&gt;0,'CHUNG TU'!H140,"")</f>
      </c>
      <c r="F149" s="192">
        <f>IF(LEFT('CHUNG TU'!I140,3)='CPSXKD 622'!$H$7,'CHUNG TU'!$L140,0)</f>
        <v>0</v>
      </c>
      <c r="G149" s="192">
        <f>IF(AND($F149&lt;&gt;0,LEFT('CHUNG TU'!$J140,LEN('CPSXKD 622'!G$10))='CPSXKD 622'!G$10),'CPSXKD 622'!$F149,0)</f>
        <v>0</v>
      </c>
      <c r="H149" s="192">
        <f>IF(AND($F149&lt;&gt;0,LEFT('CHUNG TU'!$J140,LEN('CPSXKD 622'!H$10))='CPSXKD 622'!H$10),'CPSXKD 622'!$F149,0)</f>
        <v>0</v>
      </c>
      <c r="I149" s="192">
        <f>IF(AND($F149&lt;&gt;0,LEFT('CHUNG TU'!$J140,LEN('CPSXKD 622'!I$10))='CPSXKD 622'!I$10),'CPSXKD 622'!$F149,0)</f>
        <v>0</v>
      </c>
      <c r="J149" s="192">
        <f>IF(AND($F149&lt;&gt;0,LEFT('CHUNG TU'!$J140,LEN('CPSXKD 622'!J$10))='CPSXKD 622'!J$10),'CPSXKD 622'!$F149,0)</f>
        <v>0</v>
      </c>
      <c r="K149" s="192">
        <f t="shared" si="3"/>
        <v>0</v>
      </c>
      <c r="L149" s="201">
        <f>IF(F149&lt;&gt;0,'CHUNG TU'!J140,"")</f>
      </c>
      <c r="M149" s="192">
        <f>IF(LEFT('CHUNG TU'!J140,3)='CPSXKD 622'!$H$7,'CHUNG TU'!$L140,0)</f>
        <v>0</v>
      </c>
      <c r="N149" s="192">
        <f>IF(M149&lt;&gt;0,'CHUNG TU'!I140,"")</f>
      </c>
    </row>
    <row r="150" spans="2:14" ht="12.75">
      <c r="B150" s="192">
        <f>IF($F150+$M150&lt;&gt;0,'CHUNG TU'!A141,"")</f>
      </c>
      <c r="C150" s="192">
        <f>IF($F150+$M150&lt;&gt;0,IF('CHUNG TU'!B141&lt;&gt;"",'CHUNG TU'!B141,IF('CHUNG TU'!C141&lt;&gt;"",'CHUNG TU'!C141,'CHUNG TU'!D141)),"")</f>
      </c>
      <c r="D150" s="192">
        <f>IF($F150+$M150&lt;&gt;0,'CHUNG TU'!F141,"")</f>
      </c>
      <c r="E150" s="192">
        <f>IF($F150+$M150&lt;&gt;0,'CHUNG TU'!H141,"")</f>
      </c>
      <c r="F150" s="192">
        <f>IF(LEFT('CHUNG TU'!I141,3)='CPSXKD 622'!$H$7,'CHUNG TU'!$L141,0)</f>
        <v>0</v>
      </c>
      <c r="G150" s="192">
        <f>IF(AND($F150&lt;&gt;0,LEFT('CHUNG TU'!$J141,LEN('CPSXKD 622'!G$10))='CPSXKD 622'!G$10),'CPSXKD 622'!$F150,0)</f>
        <v>0</v>
      </c>
      <c r="H150" s="192">
        <f>IF(AND($F150&lt;&gt;0,LEFT('CHUNG TU'!$J141,LEN('CPSXKD 622'!H$10))='CPSXKD 622'!H$10),'CPSXKD 622'!$F150,0)</f>
        <v>0</v>
      </c>
      <c r="I150" s="192">
        <f>IF(AND($F150&lt;&gt;0,LEFT('CHUNG TU'!$J141,LEN('CPSXKD 622'!I$10))='CPSXKD 622'!I$10),'CPSXKD 622'!$F150,0)</f>
        <v>0</v>
      </c>
      <c r="J150" s="192">
        <f>IF(AND($F150&lt;&gt;0,LEFT('CHUNG TU'!$J141,LEN('CPSXKD 622'!J$10))='CPSXKD 622'!J$10),'CPSXKD 622'!$F150,0)</f>
        <v>0</v>
      </c>
      <c r="K150" s="192">
        <f t="shared" si="3"/>
        <v>0</v>
      </c>
      <c r="L150" s="201">
        <f>IF(F150&lt;&gt;0,'CHUNG TU'!J141,"")</f>
      </c>
      <c r="M150" s="192">
        <f>IF(LEFT('CHUNG TU'!J141,3)='CPSXKD 622'!$H$7,'CHUNG TU'!$L141,0)</f>
        <v>0</v>
      </c>
      <c r="N150" s="192">
        <f>IF(M150&lt;&gt;0,'CHUNG TU'!I141,"")</f>
      </c>
    </row>
    <row r="151" spans="2:14" ht="12.75">
      <c r="B151" s="192">
        <f>IF($F151+$M151&lt;&gt;0,'CHUNG TU'!A142,"")</f>
      </c>
      <c r="C151" s="192">
        <f>IF($F151+$M151&lt;&gt;0,IF('CHUNG TU'!B142&lt;&gt;"",'CHUNG TU'!B142,IF('CHUNG TU'!C142&lt;&gt;"",'CHUNG TU'!C142,'CHUNG TU'!D142)),"")</f>
      </c>
      <c r="D151" s="192">
        <f>IF($F151+$M151&lt;&gt;0,'CHUNG TU'!F142,"")</f>
      </c>
      <c r="E151" s="192">
        <f>IF($F151+$M151&lt;&gt;0,'CHUNG TU'!H142,"")</f>
      </c>
      <c r="F151" s="192">
        <f>IF(LEFT('CHUNG TU'!I142,3)='CPSXKD 622'!$H$7,'CHUNG TU'!$L142,0)</f>
        <v>0</v>
      </c>
      <c r="G151" s="192">
        <f>IF(AND($F151&lt;&gt;0,LEFT('CHUNG TU'!$J142,LEN('CPSXKD 622'!G$10))='CPSXKD 622'!G$10),'CPSXKD 622'!$F151,0)</f>
        <v>0</v>
      </c>
      <c r="H151" s="192">
        <f>IF(AND($F151&lt;&gt;0,LEFT('CHUNG TU'!$J142,LEN('CPSXKD 622'!H$10))='CPSXKD 622'!H$10),'CPSXKD 622'!$F151,0)</f>
        <v>0</v>
      </c>
      <c r="I151" s="192">
        <f>IF(AND($F151&lt;&gt;0,LEFT('CHUNG TU'!$J142,LEN('CPSXKD 622'!I$10))='CPSXKD 622'!I$10),'CPSXKD 622'!$F151,0)</f>
        <v>0</v>
      </c>
      <c r="J151" s="192">
        <f>IF(AND($F151&lt;&gt;0,LEFT('CHUNG TU'!$J142,LEN('CPSXKD 622'!J$10))='CPSXKD 622'!J$10),'CPSXKD 622'!$F151,0)</f>
        <v>0</v>
      </c>
      <c r="K151" s="192">
        <f t="shared" si="3"/>
        <v>0</v>
      </c>
      <c r="L151" s="201">
        <f>IF(F151&lt;&gt;0,'CHUNG TU'!J142,"")</f>
      </c>
      <c r="M151" s="192">
        <f>IF(LEFT('CHUNG TU'!J142,3)='CPSXKD 622'!$H$7,'CHUNG TU'!$L142,0)</f>
        <v>0</v>
      </c>
      <c r="N151" s="192">
        <f>IF(M151&lt;&gt;0,'CHUNG TU'!I142,"")</f>
      </c>
    </row>
    <row r="152" spans="2:14" ht="12.75">
      <c r="B152" s="192">
        <f>IF($F152+$M152&lt;&gt;0,'CHUNG TU'!A143,"")</f>
      </c>
      <c r="C152" s="192">
        <f>IF($F152+$M152&lt;&gt;0,IF('CHUNG TU'!B143&lt;&gt;"",'CHUNG TU'!B143,IF('CHUNG TU'!C143&lt;&gt;"",'CHUNG TU'!C143,'CHUNG TU'!D143)),"")</f>
      </c>
      <c r="D152" s="192">
        <f>IF($F152+$M152&lt;&gt;0,'CHUNG TU'!F143,"")</f>
      </c>
      <c r="E152" s="192">
        <f>IF($F152+$M152&lt;&gt;0,'CHUNG TU'!H143,"")</f>
      </c>
      <c r="F152" s="192">
        <f>IF(LEFT('CHUNG TU'!I143,3)='CPSXKD 622'!$H$7,'CHUNG TU'!$L143,0)</f>
        <v>0</v>
      </c>
      <c r="G152" s="192">
        <f>IF(AND($F152&lt;&gt;0,LEFT('CHUNG TU'!$J143,LEN('CPSXKD 622'!G$10))='CPSXKD 622'!G$10),'CPSXKD 622'!$F152,0)</f>
        <v>0</v>
      </c>
      <c r="H152" s="192">
        <f>IF(AND($F152&lt;&gt;0,LEFT('CHUNG TU'!$J143,LEN('CPSXKD 622'!H$10))='CPSXKD 622'!H$10),'CPSXKD 622'!$F152,0)</f>
        <v>0</v>
      </c>
      <c r="I152" s="192">
        <f>IF(AND($F152&lt;&gt;0,LEFT('CHUNG TU'!$J143,LEN('CPSXKD 622'!I$10))='CPSXKD 622'!I$10),'CPSXKD 622'!$F152,0)</f>
        <v>0</v>
      </c>
      <c r="J152" s="192">
        <f>IF(AND($F152&lt;&gt;0,LEFT('CHUNG TU'!$J143,LEN('CPSXKD 622'!J$10))='CPSXKD 622'!J$10),'CPSXKD 622'!$F152,0)</f>
        <v>0</v>
      </c>
      <c r="K152" s="192">
        <f t="shared" si="3"/>
        <v>0</v>
      </c>
      <c r="L152" s="201">
        <f>IF(F152&lt;&gt;0,'CHUNG TU'!J143,"")</f>
      </c>
      <c r="M152" s="192">
        <f>IF(LEFT('CHUNG TU'!J143,3)='CPSXKD 622'!$H$7,'CHUNG TU'!$L143,0)</f>
        <v>0</v>
      </c>
      <c r="N152" s="192">
        <f>IF(M152&lt;&gt;0,'CHUNG TU'!I143,"")</f>
      </c>
    </row>
    <row r="153" spans="2:14" ht="12.75">
      <c r="B153" s="192">
        <f>IF($F153+$M153&lt;&gt;0,'CHUNG TU'!A144,"")</f>
      </c>
      <c r="C153" s="192">
        <f>IF($F153+$M153&lt;&gt;0,IF('CHUNG TU'!B144&lt;&gt;"",'CHUNG TU'!B144,IF('CHUNG TU'!C144&lt;&gt;"",'CHUNG TU'!C144,'CHUNG TU'!D144)),"")</f>
      </c>
      <c r="D153" s="192">
        <f>IF($F153+$M153&lt;&gt;0,'CHUNG TU'!F144,"")</f>
      </c>
      <c r="E153" s="192">
        <f>IF($F153+$M153&lt;&gt;0,'CHUNG TU'!H144,"")</f>
      </c>
      <c r="F153" s="192">
        <f>IF(LEFT('CHUNG TU'!I144,3)='CPSXKD 622'!$H$7,'CHUNG TU'!$L144,0)</f>
        <v>0</v>
      </c>
      <c r="G153" s="192">
        <f>IF(AND($F153&lt;&gt;0,LEFT('CHUNG TU'!$J144,LEN('CPSXKD 622'!G$10))='CPSXKD 622'!G$10),'CPSXKD 622'!$F153,0)</f>
        <v>0</v>
      </c>
      <c r="H153" s="192">
        <f>IF(AND($F153&lt;&gt;0,LEFT('CHUNG TU'!$J144,LEN('CPSXKD 622'!H$10))='CPSXKD 622'!H$10),'CPSXKD 622'!$F153,0)</f>
        <v>0</v>
      </c>
      <c r="I153" s="192">
        <f>IF(AND($F153&lt;&gt;0,LEFT('CHUNG TU'!$J144,LEN('CPSXKD 622'!I$10))='CPSXKD 622'!I$10),'CPSXKD 622'!$F153,0)</f>
        <v>0</v>
      </c>
      <c r="J153" s="192">
        <f>IF(AND($F153&lt;&gt;0,LEFT('CHUNG TU'!$J144,LEN('CPSXKD 622'!J$10))='CPSXKD 622'!J$10),'CPSXKD 622'!$F153,0)</f>
        <v>0</v>
      </c>
      <c r="K153" s="192">
        <f t="shared" si="3"/>
        <v>0</v>
      </c>
      <c r="L153" s="201">
        <f>IF(F153&lt;&gt;0,'CHUNG TU'!J144,"")</f>
      </c>
      <c r="M153" s="192">
        <f>IF(LEFT('CHUNG TU'!J144,3)='CPSXKD 622'!$H$7,'CHUNG TU'!$L144,0)</f>
        <v>0</v>
      </c>
      <c r="N153" s="192">
        <f>IF(M153&lt;&gt;0,'CHUNG TU'!I144,"")</f>
      </c>
    </row>
    <row r="154" spans="2:14" ht="12.75">
      <c r="B154" s="192">
        <f>IF($F154+$M154&lt;&gt;0,'CHUNG TU'!A145,"")</f>
      </c>
      <c r="C154" s="192">
        <f>IF($F154+$M154&lt;&gt;0,IF('CHUNG TU'!B145&lt;&gt;"",'CHUNG TU'!B145,IF('CHUNG TU'!C145&lt;&gt;"",'CHUNG TU'!C145,'CHUNG TU'!D145)),"")</f>
      </c>
      <c r="D154" s="192">
        <f>IF($F154+$M154&lt;&gt;0,'CHUNG TU'!F145,"")</f>
      </c>
      <c r="E154" s="192">
        <f>IF($F154+$M154&lt;&gt;0,'CHUNG TU'!H145,"")</f>
      </c>
      <c r="F154" s="192">
        <f>IF(LEFT('CHUNG TU'!I145,3)='CPSXKD 622'!$H$7,'CHUNG TU'!$L145,0)</f>
        <v>0</v>
      </c>
      <c r="G154" s="192">
        <f>IF(AND($F154&lt;&gt;0,LEFT('CHUNG TU'!$J145,LEN('CPSXKD 622'!G$10))='CPSXKD 622'!G$10),'CPSXKD 622'!$F154,0)</f>
        <v>0</v>
      </c>
      <c r="H154" s="192">
        <f>IF(AND($F154&lt;&gt;0,LEFT('CHUNG TU'!$J145,LEN('CPSXKD 622'!H$10))='CPSXKD 622'!H$10),'CPSXKD 622'!$F154,0)</f>
        <v>0</v>
      </c>
      <c r="I154" s="192">
        <f>IF(AND($F154&lt;&gt;0,LEFT('CHUNG TU'!$J145,LEN('CPSXKD 622'!I$10))='CPSXKD 622'!I$10),'CPSXKD 622'!$F154,0)</f>
        <v>0</v>
      </c>
      <c r="J154" s="192">
        <f>IF(AND($F154&lt;&gt;0,LEFT('CHUNG TU'!$J145,LEN('CPSXKD 622'!J$10))='CPSXKD 622'!J$10),'CPSXKD 622'!$F154,0)</f>
        <v>0</v>
      </c>
      <c r="K154" s="192">
        <f t="shared" si="3"/>
        <v>0</v>
      </c>
      <c r="L154" s="201">
        <f>IF(F154&lt;&gt;0,'CHUNG TU'!J145,"")</f>
      </c>
      <c r="M154" s="192">
        <f>IF(LEFT('CHUNG TU'!J145,3)='CPSXKD 622'!$H$7,'CHUNG TU'!$L145,0)</f>
        <v>0</v>
      </c>
      <c r="N154" s="192">
        <f>IF(M154&lt;&gt;0,'CHUNG TU'!I145,"")</f>
      </c>
    </row>
    <row r="155" spans="2:14" ht="12.75">
      <c r="B155" s="192">
        <f>IF($F155+$M155&lt;&gt;0,'CHUNG TU'!A146,"")</f>
      </c>
      <c r="C155" s="192">
        <f>IF($F155+$M155&lt;&gt;0,IF('CHUNG TU'!B146&lt;&gt;"",'CHUNG TU'!B146,IF('CHUNG TU'!C146&lt;&gt;"",'CHUNG TU'!C146,'CHUNG TU'!D146)),"")</f>
      </c>
      <c r="D155" s="192">
        <f>IF($F155+$M155&lt;&gt;0,'CHUNG TU'!F146,"")</f>
      </c>
      <c r="E155" s="192">
        <f>IF($F155+$M155&lt;&gt;0,'CHUNG TU'!H146,"")</f>
      </c>
      <c r="F155" s="192">
        <f>IF(LEFT('CHUNG TU'!I146,3)='CPSXKD 622'!$H$7,'CHUNG TU'!$L146,0)</f>
        <v>0</v>
      </c>
      <c r="G155" s="192">
        <f>IF(AND($F155&lt;&gt;0,LEFT('CHUNG TU'!$J146,LEN('CPSXKD 622'!G$10))='CPSXKD 622'!G$10),'CPSXKD 622'!$F155,0)</f>
        <v>0</v>
      </c>
      <c r="H155" s="192">
        <f>IF(AND($F155&lt;&gt;0,LEFT('CHUNG TU'!$J146,LEN('CPSXKD 622'!H$10))='CPSXKD 622'!H$10),'CPSXKD 622'!$F155,0)</f>
        <v>0</v>
      </c>
      <c r="I155" s="192">
        <f>IF(AND($F155&lt;&gt;0,LEFT('CHUNG TU'!$J146,LEN('CPSXKD 622'!I$10))='CPSXKD 622'!I$10),'CPSXKD 622'!$F155,0)</f>
        <v>0</v>
      </c>
      <c r="J155" s="192">
        <f>IF(AND($F155&lt;&gt;0,LEFT('CHUNG TU'!$J146,LEN('CPSXKD 622'!J$10))='CPSXKD 622'!J$10),'CPSXKD 622'!$F155,0)</f>
        <v>0</v>
      </c>
      <c r="K155" s="192">
        <f t="shared" si="3"/>
        <v>0</v>
      </c>
      <c r="L155" s="201">
        <f>IF(F155&lt;&gt;0,'CHUNG TU'!J146,"")</f>
      </c>
      <c r="M155" s="192">
        <f>IF(LEFT('CHUNG TU'!J146,3)='CPSXKD 622'!$H$7,'CHUNG TU'!$L146,0)</f>
        <v>0</v>
      </c>
      <c r="N155" s="192">
        <f>IF(M155&lt;&gt;0,'CHUNG TU'!I146,"")</f>
      </c>
    </row>
    <row r="156" spans="2:14" ht="12.75">
      <c r="B156" s="192">
        <f>IF($F156+$M156&lt;&gt;0,'CHUNG TU'!A147,"")</f>
      </c>
      <c r="C156" s="192">
        <f>IF($F156+$M156&lt;&gt;0,IF('CHUNG TU'!B147&lt;&gt;"",'CHUNG TU'!B147,IF('CHUNG TU'!C147&lt;&gt;"",'CHUNG TU'!C147,'CHUNG TU'!D147)),"")</f>
      </c>
      <c r="D156" s="192">
        <f>IF($F156+$M156&lt;&gt;0,'CHUNG TU'!F147,"")</f>
      </c>
      <c r="E156" s="192">
        <f>IF($F156+$M156&lt;&gt;0,'CHUNG TU'!H147,"")</f>
      </c>
      <c r="F156" s="192">
        <f>IF(LEFT('CHUNG TU'!I147,3)='CPSXKD 622'!$H$7,'CHUNG TU'!$L147,0)</f>
        <v>0</v>
      </c>
      <c r="G156" s="192">
        <f>IF(AND($F156&lt;&gt;0,LEFT('CHUNG TU'!$J147,LEN('CPSXKD 622'!G$10))='CPSXKD 622'!G$10),'CPSXKD 622'!$F156,0)</f>
        <v>0</v>
      </c>
      <c r="H156" s="192">
        <f>IF(AND($F156&lt;&gt;0,LEFT('CHUNG TU'!$J147,LEN('CPSXKD 622'!H$10))='CPSXKD 622'!H$10),'CPSXKD 622'!$F156,0)</f>
        <v>0</v>
      </c>
      <c r="I156" s="192">
        <f>IF(AND($F156&lt;&gt;0,LEFT('CHUNG TU'!$J147,LEN('CPSXKD 622'!I$10))='CPSXKD 622'!I$10),'CPSXKD 622'!$F156,0)</f>
        <v>0</v>
      </c>
      <c r="J156" s="192">
        <f>IF(AND($F156&lt;&gt;0,LEFT('CHUNG TU'!$J147,LEN('CPSXKD 622'!J$10))='CPSXKD 622'!J$10),'CPSXKD 622'!$F156,0)</f>
        <v>0</v>
      </c>
      <c r="K156" s="192">
        <f t="shared" si="3"/>
        <v>0</v>
      </c>
      <c r="L156" s="201">
        <f>IF(F156&lt;&gt;0,'CHUNG TU'!J147,"")</f>
      </c>
      <c r="M156" s="192">
        <f>IF(LEFT('CHUNG TU'!J147,3)='CPSXKD 622'!$H$7,'CHUNG TU'!$L147,0)</f>
        <v>0</v>
      </c>
      <c r="N156" s="192">
        <f>IF(M156&lt;&gt;0,'CHUNG TU'!I147,"")</f>
      </c>
    </row>
    <row r="157" spans="2:14" ht="12.75">
      <c r="B157" s="192">
        <f>IF($F157+$M157&lt;&gt;0,'CHUNG TU'!A148,"")</f>
      </c>
      <c r="C157" s="192">
        <f>IF($F157+$M157&lt;&gt;0,IF('CHUNG TU'!B148&lt;&gt;"",'CHUNG TU'!B148,IF('CHUNG TU'!C148&lt;&gt;"",'CHUNG TU'!C148,'CHUNG TU'!D148)),"")</f>
      </c>
      <c r="D157" s="192">
        <f>IF($F157+$M157&lt;&gt;0,'CHUNG TU'!F148,"")</f>
      </c>
      <c r="E157" s="192">
        <f>IF($F157+$M157&lt;&gt;0,'CHUNG TU'!H148,"")</f>
      </c>
      <c r="F157" s="192">
        <f>IF(LEFT('CHUNG TU'!I148,3)='CPSXKD 622'!$H$7,'CHUNG TU'!$L148,0)</f>
        <v>0</v>
      </c>
      <c r="G157" s="192">
        <f>IF(AND($F157&lt;&gt;0,LEFT('CHUNG TU'!$J148,LEN('CPSXKD 622'!G$10))='CPSXKD 622'!G$10),'CPSXKD 622'!$F157,0)</f>
        <v>0</v>
      </c>
      <c r="H157" s="192">
        <f>IF(AND($F157&lt;&gt;0,LEFT('CHUNG TU'!$J148,LEN('CPSXKD 622'!H$10))='CPSXKD 622'!H$10),'CPSXKD 622'!$F157,0)</f>
        <v>0</v>
      </c>
      <c r="I157" s="192">
        <f>IF(AND($F157&lt;&gt;0,LEFT('CHUNG TU'!$J148,LEN('CPSXKD 622'!I$10))='CPSXKD 622'!I$10),'CPSXKD 622'!$F157,0)</f>
        <v>0</v>
      </c>
      <c r="J157" s="192">
        <f>IF(AND($F157&lt;&gt;0,LEFT('CHUNG TU'!$J148,LEN('CPSXKD 622'!J$10))='CPSXKD 622'!J$10),'CPSXKD 622'!$F157,0)</f>
        <v>0</v>
      </c>
      <c r="K157" s="192">
        <f t="shared" si="3"/>
        <v>0</v>
      </c>
      <c r="L157" s="201">
        <f>IF(F157&lt;&gt;0,'CHUNG TU'!J148,"")</f>
      </c>
      <c r="M157" s="192">
        <f>IF(LEFT('CHUNG TU'!J148,3)='CPSXKD 622'!$H$7,'CHUNG TU'!$L148,0)</f>
        <v>0</v>
      </c>
      <c r="N157" s="192">
        <f>IF(M157&lt;&gt;0,'CHUNG TU'!I148,"")</f>
      </c>
    </row>
    <row r="158" spans="2:14" ht="12.75">
      <c r="B158" s="192">
        <f>IF($F158+$M158&lt;&gt;0,'CHUNG TU'!A149,"")</f>
      </c>
      <c r="C158" s="192">
        <f>IF($F158+$M158&lt;&gt;0,IF('CHUNG TU'!B149&lt;&gt;"",'CHUNG TU'!B149,IF('CHUNG TU'!C149&lt;&gt;"",'CHUNG TU'!C149,'CHUNG TU'!D149)),"")</f>
      </c>
      <c r="D158" s="192">
        <f>IF($F158+$M158&lt;&gt;0,'CHUNG TU'!F149,"")</f>
      </c>
      <c r="E158" s="192">
        <f>IF($F158+$M158&lt;&gt;0,'CHUNG TU'!H149,"")</f>
      </c>
      <c r="F158" s="192">
        <f>IF(LEFT('CHUNG TU'!I149,3)='CPSXKD 622'!$H$7,'CHUNG TU'!$L149,0)</f>
        <v>0</v>
      </c>
      <c r="G158" s="192">
        <f>IF(AND($F158&lt;&gt;0,LEFT('CHUNG TU'!$J149,LEN('CPSXKD 622'!G$10))='CPSXKD 622'!G$10),'CPSXKD 622'!$F158,0)</f>
        <v>0</v>
      </c>
      <c r="H158" s="192">
        <f>IF(AND($F158&lt;&gt;0,LEFT('CHUNG TU'!$J149,LEN('CPSXKD 622'!H$10))='CPSXKD 622'!H$10),'CPSXKD 622'!$F158,0)</f>
        <v>0</v>
      </c>
      <c r="I158" s="192">
        <f>IF(AND($F158&lt;&gt;0,LEFT('CHUNG TU'!$J149,LEN('CPSXKD 622'!I$10))='CPSXKD 622'!I$10),'CPSXKD 622'!$F158,0)</f>
        <v>0</v>
      </c>
      <c r="J158" s="192">
        <f>IF(AND($F158&lt;&gt;0,LEFT('CHUNG TU'!$J149,LEN('CPSXKD 622'!J$10))='CPSXKD 622'!J$10),'CPSXKD 622'!$F158,0)</f>
        <v>0</v>
      </c>
      <c r="K158" s="192">
        <f t="shared" si="3"/>
        <v>0</v>
      </c>
      <c r="L158" s="201">
        <f>IF(F158&lt;&gt;0,'CHUNG TU'!J149,"")</f>
      </c>
      <c r="M158" s="192">
        <f>IF(LEFT('CHUNG TU'!J149,3)='CPSXKD 622'!$H$7,'CHUNG TU'!$L149,0)</f>
        <v>0</v>
      </c>
      <c r="N158" s="192">
        <f>IF(M158&lt;&gt;0,'CHUNG TU'!I149,"")</f>
      </c>
    </row>
    <row r="159" spans="2:14" ht="12.75">
      <c r="B159" s="192">
        <f>IF($F159+$M159&lt;&gt;0,'CHUNG TU'!A150,"")</f>
      </c>
      <c r="C159" s="192">
        <f>IF($F159+$M159&lt;&gt;0,IF('CHUNG TU'!B150&lt;&gt;"",'CHUNG TU'!B150,IF('CHUNG TU'!C150&lt;&gt;"",'CHUNG TU'!C150,'CHUNG TU'!D150)),"")</f>
      </c>
      <c r="D159" s="192">
        <f>IF($F159+$M159&lt;&gt;0,'CHUNG TU'!F150,"")</f>
      </c>
      <c r="E159" s="192">
        <f>IF($F159+$M159&lt;&gt;0,'CHUNG TU'!H150,"")</f>
      </c>
      <c r="F159" s="192">
        <f>IF(LEFT('CHUNG TU'!I150,3)='CPSXKD 622'!$H$7,'CHUNG TU'!$L150,0)</f>
        <v>0</v>
      </c>
      <c r="G159" s="192">
        <f>IF(AND($F159&lt;&gt;0,LEFT('CHUNG TU'!$J150,LEN('CPSXKD 622'!G$10))='CPSXKD 622'!G$10),'CPSXKD 622'!$F159,0)</f>
        <v>0</v>
      </c>
      <c r="H159" s="192">
        <f>IF(AND($F159&lt;&gt;0,LEFT('CHUNG TU'!$J150,LEN('CPSXKD 622'!H$10))='CPSXKD 622'!H$10),'CPSXKD 622'!$F159,0)</f>
        <v>0</v>
      </c>
      <c r="I159" s="192">
        <f>IF(AND($F159&lt;&gt;0,LEFT('CHUNG TU'!$J150,LEN('CPSXKD 622'!I$10))='CPSXKD 622'!I$10),'CPSXKD 622'!$F159,0)</f>
        <v>0</v>
      </c>
      <c r="J159" s="192">
        <f>IF(AND($F159&lt;&gt;0,LEFT('CHUNG TU'!$J150,LEN('CPSXKD 622'!J$10))='CPSXKD 622'!J$10),'CPSXKD 622'!$F159,0)</f>
        <v>0</v>
      </c>
      <c r="K159" s="192">
        <f t="shared" si="3"/>
        <v>0</v>
      </c>
      <c r="L159" s="201">
        <f>IF(F159&lt;&gt;0,'CHUNG TU'!J150,"")</f>
      </c>
      <c r="M159" s="192">
        <f>IF(LEFT('CHUNG TU'!J150,3)='CPSXKD 622'!$H$7,'CHUNG TU'!$L150,0)</f>
        <v>0</v>
      </c>
      <c r="N159" s="192">
        <f>IF(M159&lt;&gt;0,'CHUNG TU'!I150,"")</f>
      </c>
    </row>
    <row r="160" spans="2:14" ht="12.75">
      <c r="B160" s="192">
        <f>IF($F160+$M160&lt;&gt;0,'CHUNG TU'!A151,"")</f>
      </c>
      <c r="C160" s="192">
        <f>IF($F160+$M160&lt;&gt;0,IF('CHUNG TU'!B151&lt;&gt;"",'CHUNG TU'!B151,IF('CHUNG TU'!C151&lt;&gt;"",'CHUNG TU'!C151,'CHUNG TU'!D151)),"")</f>
      </c>
      <c r="D160" s="192">
        <f>IF($F160+$M160&lt;&gt;0,'CHUNG TU'!F151,"")</f>
      </c>
      <c r="E160" s="192">
        <f>IF($F160+$M160&lt;&gt;0,'CHUNG TU'!H151,"")</f>
      </c>
      <c r="F160" s="192">
        <f>IF(LEFT('CHUNG TU'!I151,3)='CPSXKD 622'!$H$7,'CHUNG TU'!$L151,0)</f>
        <v>0</v>
      </c>
      <c r="G160" s="192">
        <f>IF(AND($F160&lt;&gt;0,LEFT('CHUNG TU'!$J151,LEN('CPSXKD 622'!G$10))='CPSXKD 622'!G$10),'CPSXKD 622'!$F160,0)</f>
        <v>0</v>
      </c>
      <c r="H160" s="192">
        <f>IF(AND($F160&lt;&gt;0,LEFT('CHUNG TU'!$J151,LEN('CPSXKD 622'!H$10))='CPSXKD 622'!H$10),'CPSXKD 622'!$F160,0)</f>
        <v>0</v>
      </c>
      <c r="I160" s="192">
        <f>IF(AND($F160&lt;&gt;0,LEFT('CHUNG TU'!$J151,LEN('CPSXKD 622'!I$10))='CPSXKD 622'!I$10),'CPSXKD 622'!$F160,0)</f>
        <v>0</v>
      </c>
      <c r="J160" s="192">
        <f>IF(AND($F160&lt;&gt;0,LEFT('CHUNG TU'!$J151,LEN('CPSXKD 622'!J$10))='CPSXKD 622'!J$10),'CPSXKD 622'!$F160,0)</f>
        <v>0</v>
      </c>
      <c r="K160" s="192">
        <f t="shared" si="3"/>
        <v>0</v>
      </c>
      <c r="L160" s="201">
        <f>IF(F160&lt;&gt;0,'CHUNG TU'!J151,"")</f>
      </c>
      <c r="M160" s="192">
        <f>IF(LEFT('CHUNG TU'!J151,3)='CPSXKD 622'!$H$7,'CHUNG TU'!$L151,0)</f>
        <v>0</v>
      </c>
      <c r="N160" s="192">
        <f>IF(M160&lt;&gt;0,'CHUNG TU'!I151,"")</f>
      </c>
    </row>
    <row r="161" spans="2:14" ht="12.75">
      <c r="B161" s="192">
        <f>IF($F161+$M161&lt;&gt;0,'CHUNG TU'!A152,"")</f>
      </c>
      <c r="C161" s="192">
        <f>IF($F161+$M161&lt;&gt;0,IF('CHUNG TU'!B152&lt;&gt;"",'CHUNG TU'!B152,IF('CHUNG TU'!C152&lt;&gt;"",'CHUNG TU'!C152,'CHUNG TU'!D152)),"")</f>
      </c>
      <c r="D161" s="192">
        <f>IF($F161+$M161&lt;&gt;0,'CHUNG TU'!F152,"")</f>
      </c>
      <c r="E161" s="192">
        <f>IF($F161+$M161&lt;&gt;0,'CHUNG TU'!H152,"")</f>
      </c>
      <c r="F161" s="192">
        <f>IF(LEFT('CHUNG TU'!I152,3)='CPSXKD 622'!$H$7,'CHUNG TU'!$L152,0)</f>
        <v>0</v>
      </c>
      <c r="G161" s="192">
        <f>IF(AND($F161&lt;&gt;0,LEFT('CHUNG TU'!$J152,LEN('CPSXKD 622'!G$10))='CPSXKD 622'!G$10),'CPSXKD 622'!$F161,0)</f>
        <v>0</v>
      </c>
      <c r="H161" s="192">
        <f>IF(AND($F161&lt;&gt;0,LEFT('CHUNG TU'!$J152,LEN('CPSXKD 622'!H$10))='CPSXKD 622'!H$10),'CPSXKD 622'!$F161,0)</f>
        <v>0</v>
      </c>
      <c r="I161" s="192">
        <f>IF(AND($F161&lt;&gt;0,LEFT('CHUNG TU'!$J152,LEN('CPSXKD 622'!I$10))='CPSXKD 622'!I$10),'CPSXKD 622'!$F161,0)</f>
        <v>0</v>
      </c>
      <c r="J161" s="192">
        <f>IF(AND($F161&lt;&gt;0,LEFT('CHUNG TU'!$J152,LEN('CPSXKD 622'!J$10))='CPSXKD 622'!J$10),'CPSXKD 622'!$F161,0)</f>
        <v>0</v>
      </c>
      <c r="K161" s="192">
        <f t="shared" si="3"/>
        <v>0</v>
      </c>
      <c r="L161" s="201">
        <f>IF(F161&lt;&gt;0,'CHUNG TU'!J152,"")</f>
      </c>
      <c r="M161" s="192">
        <f>IF(LEFT('CHUNG TU'!J152,3)='CPSXKD 622'!$H$7,'CHUNG TU'!$L152,0)</f>
        <v>0</v>
      </c>
      <c r="N161" s="192">
        <f>IF(M161&lt;&gt;0,'CHUNG TU'!I152,"")</f>
      </c>
    </row>
    <row r="162" spans="2:14" ht="12.75">
      <c r="B162" s="192">
        <f>IF($F162+$M162&lt;&gt;0,'CHUNG TU'!A153,"")</f>
      </c>
      <c r="C162" s="192">
        <f>IF($F162+$M162&lt;&gt;0,IF('CHUNG TU'!B153&lt;&gt;"",'CHUNG TU'!B153,IF('CHUNG TU'!C153&lt;&gt;"",'CHUNG TU'!C153,'CHUNG TU'!D153)),"")</f>
      </c>
      <c r="D162" s="192">
        <f>IF($F162+$M162&lt;&gt;0,'CHUNG TU'!F153,"")</f>
      </c>
      <c r="E162" s="192">
        <f>IF($F162+$M162&lt;&gt;0,'CHUNG TU'!H153,"")</f>
      </c>
      <c r="F162" s="192">
        <f>IF(LEFT('CHUNG TU'!I153,3)='CPSXKD 622'!$H$7,'CHUNG TU'!$L153,0)</f>
        <v>0</v>
      </c>
      <c r="G162" s="192">
        <f>IF(AND($F162&lt;&gt;0,LEFT('CHUNG TU'!$J153,LEN('CPSXKD 622'!G$10))='CPSXKD 622'!G$10),'CPSXKD 622'!$F162,0)</f>
        <v>0</v>
      </c>
      <c r="H162" s="192">
        <f>IF(AND($F162&lt;&gt;0,LEFT('CHUNG TU'!$J153,LEN('CPSXKD 622'!H$10))='CPSXKD 622'!H$10),'CPSXKD 622'!$F162,0)</f>
        <v>0</v>
      </c>
      <c r="I162" s="192">
        <f>IF(AND($F162&lt;&gt;0,LEFT('CHUNG TU'!$J153,LEN('CPSXKD 622'!I$10))='CPSXKD 622'!I$10),'CPSXKD 622'!$F162,0)</f>
        <v>0</v>
      </c>
      <c r="J162" s="192">
        <f>IF(AND($F162&lt;&gt;0,LEFT('CHUNG TU'!$J153,LEN('CPSXKD 622'!J$10))='CPSXKD 622'!J$10),'CPSXKD 622'!$F162,0)</f>
        <v>0</v>
      </c>
      <c r="K162" s="192">
        <f t="shared" si="3"/>
        <v>0</v>
      </c>
      <c r="L162" s="201">
        <f>IF(F162&lt;&gt;0,'CHUNG TU'!J153,"")</f>
      </c>
      <c r="M162" s="192">
        <f>IF(LEFT('CHUNG TU'!J153,3)='CPSXKD 622'!$H$7,'CHUNG TU'!$L153,0)</f>
        <v>0</v>
      </c>
      <c r="N162" s="192">
        <f>IF(M162&lt;&gt;0,'CHUNG TU'!I153,"")</f>
      </c>
    </row>
    <row r="163" spans="2:14" ht="12.75">
      <c r="B163" s="192">
        <f>IF($F163+$M163&lt;&gt;0,'CHUNG TU'!A154,"")</f>
      </c>
      <c r="C163" s="192">
        <f>IF($F163+$M163&lt;&gt;0,IF('CHUNG TU'!B154&lt;&gt;"",'CHUNG TU'!B154,IF('CHUNG TU'!C154&lt;&gt;"",'CHUNG TU'!C154,'CHUNG TU'!D154)),"")</f>
      </c>
      <c r="D163" s="192">
        <f>IF($F163+$M163&lt;&gt;0,'CHUNG TU'!F154,"")</f>
      </c>
      <c r="E163" s="192">
        <f>IF($F163+$M163&lt;&gt;0,'CHUNG TU'!H154,"")</f>
      </c>
      <c r="F163" s="192">
        <f>IF(LEFT('CHUNG TU'!I154,3)='CPSXKD 622'!$H$7,'CHUNG TU'!$L154,0)</f>
        <v>0</v>
      </c>
      <c r="G163" s="192">
        <f>IF(AND($F163&lt;&gt;0,LEFT('CHUNG TU'!$J154,LEN('CPSXKD 622'!G$10))='CPSXKD 622'!G$10),'CPSXKD 622'!$F163,0)</f>
        <v>0</v>
      </c>
      <c r="H163" s="192">
        <f>IF(AND($F163&lt;&gt;0,LEFT('CHUNG TU'!$J154,LEN('CPSXKD 622'!H$10))='CPSXKD 622'!H$10),'CPSXKD 622'!$F163,0)</f>
        <v>0</v>
      </c>
      <c r="I163" s="192">
        <f>IF(AND($F163&lt;&gt;0,LEFT('CHUNG TU'!$J154,LEN('CPSXKD 622'!I$10))='CPSXKD 622'!I$10),'CPSXKD 622'!$F163,0)</f>
        <v>0</v>
      </c>
      <c r="J163" s="192">
        <f>IF(AND($F163&lt;&gt;0,LEFT('CHUNG TU'!$J154,LEN('CPSXKD 622'!J$10))='CPSXKD 622'!J$10),'CPSXKD 622'!$F163,0)</f>
        <v>0</v>
      </c>
      <c r="K163" s="192">
        <f t="shared" si="3"/>
        <v>0</v>
      </c>
      <c r="L163" s="201">
        <f>IF(F163&lt;&gt;0,'CHUNG TU'!J154,"")</f>
      </c>
      <c r="M163" s="192">
        <f>IF(LEFT('CHUNG TU'!J154,3)='CPSXKD 622'!$H$7,'CHUNG TU'!$L154,0)</f>
        <v>0</v>
      </c>
      <c r="N163" s="192">
        <f>IF(M163&lt;&gt;0,'CHUNG TU'!I154,"")</f>
      </c>
    </row>
    <row r="164" spans="2:14" ht="12.75">
      <c r="B164" s="192">
        <f>IF($F164+$M164&lt;&gt;0,'CHUNG TU'!A155,"")</f>
      </c>
      <c r="C164" s="192">
        <f>IF($F164+$M164&lt;&gt;0,IF('CHUNG TU'!B155&lt;&gt;"",'CHUNG TU'!B155,IF('CHUNG TU'!C155&lt;&gt;"",'CHUNG TU'!C155,'CHUNG TU'!D155)),"")</f>
      </c>
      <c r="D164" s="192">
        <f>IF($F164+$M164&lt;&gt;0,'CHUNG TU'!F155,"")</f>
      </c>
      <c r="E164" s="192">
        <f>IF($F164+$M164&lt;&gt;0,'CHUNG TU'!H155,"")</f>
      </c>
      <c r="F164" s="192">
        <f>IF(LEFT('CHUNG TU'!I155,3)='CPSXKD 622'!$H$7,'CHUNG TU'!$L155,0)</f>
        <v>0</v>
      </c>
      <c r="G164" s="192">
        <f>IF(AND($F164&lt;&gt;0,LEFT('CHUNG TU'!$J155,LEN('CPSXKD 622'!G$10))='CPSXKD 622'!G$10),'CPSXKD 622'!$F164,0)</f>
        <v>0</v>
      </c>
      <c r="H164" s="192">
        <f>IF(AND($F164&lt;&gt;0,LEFT('CHUNG TU'!$J155,LEN('CPSXKD 622'!H$10))='CPSXKD 622'!H$10),'CPSXKD 622'!$F164,0)</f>
        <v>0</v>
      </c>
      <c r="I164" s="192">
        <f>IF(AND($F164&lt;&gt;0,LEFT('CHUNG TU'!$J155,LEN('CPSXKD 622'!I$10))='CPSXKD 622'!I$10),'CPSXKD 622'!$F164,0)</f>
        <v>0</v>
      </c>
      <c r="J164" s="192">
        <f>IF(AND($F164&lt;&gt;0,LEFT('CHUNG TU'!$J155,LEN('CPSXKD 622'!J$10))='CPSXKD 622'!J$10),'CPSXKD 622'!$F164,0)</f>
        <v>0</v>
      </c>
      <c r="K164" s="192">
        <f t="shared" si="3"/>
        <v>0</v>
      </c>
      <c r="L164" s="201">
        <f>IF(F164&lt;&gt;0,'CHUNG TU'!J155,"")</f>
      </c>
      <c r="M164" s="192">
        <f>IF(LEFT('CHUNG TU'!J155,3)='CPSXKD 622'!$H$7,'CHUNG TU'!$L155,0)</f>
        <v>0</v>
      </c>
      <c r="N164" s="192">
        <f>IF(M164&lt;&gt;0,'CHUNG TU'!I155,"")</f>
      </c>
    </row>
    <row r="165" spans="2:14" ht="12.75">
      <c r="B165" s="192">
        <f>IF($F165+$M165&lt;&gt;0,'CHUNG TU'!A156,"")</f>
      </c>
      <c r="C165" s="192">
        <f>IF($F165+$M165&lt;&gt;0,IF('CHUNG TU'!B156&lt;&gt;"",'CHUNG TU'!B156,IF('CHUNG TU'!C156&lt;&gt;"",'CHUNG TU'!C156,'CHUNG TU'!D156)),"")</f>
      </c>
      <c r="D165" s="192">
        <f>IF($F165+$M165&lt;&gt;0,'CHUNG TU'!F156,"")</f>
      </c>
      <c r="E165" s="192">
        <f>IF($F165+$M165&lt;&gt;0,'CHUNG TU'!H156,"")</f>
      </c>
      <c r="F165" s="192">
        <f>IF(LEFT('CHUNG TU'!I156,3)='CPSXKD 622'!$H$7,'CHUNG TU'!$L156,0)</f>
        <v>0</v>
      </c>
      <c r="G165" s="192">
        <f>IF(AND($F165&lt;&gt;0,LEFT('CHUNG TU'!$J156,LEN('CPSXKD 622'!G$10))='CPSXKD 622'!G$10),'CPSXKD 622'!$F165,0)</f>
        <v>0</v>
      </c>
      <c r="H165" s="192">
        <f>IF(AND($F165&lt;&gt;0,LEFT('CHUNG TU'!$J156,LEN('CPSXKD 622'!H$10))='CPSXKD 622'!H$10),'CPSXKD 622'!$F165,0)</f>
        <v>0</v>
      </c>
      <c r="I165" s="192">
        <f>IF(AND($F165&lt;&gt;0,LEFT('CHUNG TU'!$J156,LEN('CPSXKD 622'!I$10))='CPSXKD 622'!I$10),'CPSXKD 622'!$F165,0)</f>
        <v>0</v>
      </c>
      <c r="J165" s="192">
        <f>IF(AND($F165&lt;&gt;0,LEFT('CHUNG TU'!$J156,LEN('CPSXKD 622'!J$10))='CPSXKD 622'!J$10),'CPSXKD 622'!$F165,0)</f>
        <v>0</v>
      </c>
      <c r="K165" s="192">
        <f t="shared" si="3"/>
        <v>0</v>
      </c>
      <c r="L165" s="201">
        <f>IF(F165&lt;&gt;0,'CHUNG TU'!J156,"")</f>
      </c>
      <c r="M165" s="192">
        <f>IF(LEFT('CHUNG TU'!J156,3)='CPSXKD 622'!$H$7,'CHUNG TU'!$L156,0)</f>
        <v>0</v>
      </c>
      <c r="N165" s="192">
        <f>IF(M165&lt;&gt;0,'CHUNG TU'!I156,"")</f>
      </c>
    </row>
    <row r="166" spans="2:14" ht="12.75">
      <c r="B166" s="192">
        <f>IF($F166+$M166&lt;&gt;0,'CHUNG TU'!A157,"")</f>
      </c>
      <c r="C166" s="192">
        <f>IF($F166+$M166&lt;&gt;0,IF('CHUNG TU'!B157&lt;&gt;"",'CHUNG TU'!B157,IF('CHUNG TU'!C157&lt;&gt;"",'CHUNG TU'!C157,'CHUNG TU'!D157)),"")</f>
      </c>
      <c r="D166" s="192">
        <f>IF($F166+$M166&lt;&gt;0,'CHUNG TU'!F157,"")</f>
      </c>
      <c r="E166" s="192">
        <f>IF($F166+$M166&lt;&gt;0,'CHUNG TU'!H157,"")</f>
      </c>
      <c r="F166" s="192">
        <f>IF(LEFT('CHUNG TU'!I157,3)='CPSXKD 622'!$H$7,'CHUNG TU'!$L157,0)</f>
        <v>0</v>
      </c>
      <c r="G166" s="192">
        <f>IF(AND($F166&lt;&gt;0,LEFT('CHUNG TU'!$J157,LEN('CPSXKD 622'!G$10))='CPSXKD 622'!G$10),'CPSXKD 622'!$F166,0)</f>
        <v>0</v>
      </c>
      <c r="H166" s="192">
        <f>IF(AND($F166&lt;&gt;0,LEFT('CHUNG TU'!$J157,LEN('CPSXKD 622'!H$10))='CPSXKD 622'!H$10),'CPSXKD 622'!$F166,0)</f>
        <v>0</v>
      </c>
      <c r="I166" s="192">
        <f>IF(AND($F166&lt;&gt;0,LEFT('CHUNG TU'!$J157,LEN('CPSXKD 622'!I$10))='CPSXKD 622'!I$10),'CPSXKD 622'!$F166,0)</f>
        <v>0</v>
      </c>
      <c r="J166" s="192">
        <f>IF(AND($F166&lt;&gt;0,LEFT('CHUNG TU'!$J157,LEN('CPSXKD 622'!J$10))='CPSXKD 622'!J$10),'CPSXKD 622'!$F166,0)</f>
        <v>0</v>
      </c>
      <c r="K166" s="192">
        <f t="shared" si="3"/>
        <v>0</v>
      </c>
      <c r="L166" s="201">
        <f>IF(F166&lt;&gt;0,'CHUNG TU'!J157,"")</f>
      </c>
      <c r="M166" s="192">
        <f>IF(LEFT('CHUNG TU'!J157,3)='CPSXKD 622'!$H$7,'CHUNG TU'!$L157,0)</f>
        <v>0</v>
      </c>
      <c r="N166" s="192">
        <f>IF(M166&lt;&gt;0,'CHUNG TU'!I157,"")</f>
      </c>
    </row>
    <row r="167" spans="2:14" ht="12.75">
      <c r="B167" s="192">
        <f>IF($F167+$M167&lt;&gt;0,'CHUNG TU'!A158,"")</f>
      </c>
      <c r="C167" s="192">
        <f>IF($F167+$M167&lt;&gt;0,IF('CHUNG TU'!B158&lt;&gt;"",'CHUNG TU'!B158,IF('CHUNG TU'!C158&lt;&gt;"",'CHUNG TU'!C158,'CHUNG TU'!D158)),"")</f>
      </c>
      <c r="D167" s="192">
        <f>IF($F167+$M167&lt;&gt;0,'CHUNG TU'!F158,"")</f>
      </c>
      <c r="E167" s="192">
        <f>IF($F167+$M167&lt;&gt;0,'CHUNG TU'!H158,"")</f>
      </c>
      <c r="F167" s="192">
        <f>IF(LEFT('CHUNG TU'!I158,3)='CPSXKD 622'!$H$7,'CHUNG TU'!$L158,0)</f>
        <v>0</v>
      </c>
      <c r="G167" s="192">
        <f>IF(AND($F167&lt;&gt;0,LEFT('CHUNG TU'!$J158,LEN('CPSXKD 622'!G$10))='CPSXKD 622'!G$10),'CPSXKD 622'!$F167,0)</f>
        <v>0</v>
      </c>
      <c r="H167" s="192">
        <f>IF(AND($F167&lt;&gt;0,LEFT('CHUNG TU'!$J158,LEN('CPSXKD 622'!H$10))='CPSXKD 622'!H$10),'CPSXKD 622'!$F167,0)</f>
        <v>0</v>
      </c>
      <c r="I167" s="192">
        <f>IF(AND($F167&lt;&gt;0,LEFT('CHUNG TU'!$J158,LEN('CPSXKD 622'!I$10))='CPSXKD 622'!I$10),'CPSXKD 622'!$F167,0)</f>
        <v>0</v>
      </c>
      <c r="J167" s="192">
        <f>IF(AND($F167&lt;&gt;0,LEFT('CHUNG TU'!$J158,LEN('CPSXKD 622'!J$10))='CPSXKD 622'!J$10),'CPSXKD 622'!$F167,0)</f>
        <v>0</v>
      </c>
      <c r="K167" s="192">
        <f t="shared" si="3"/>
        <v>0</v>
      </c>
      <c r="L167" s="201">
        <f>IF(F167&lt;&gt;0,'CHUNG TU'!J158,"")</f>
      </c>
      <c r="M167" s="192">
        <f>IF(LEFT('CHUNG TU'!J158,3)='CPSXKD 622'!$H$7,'CHUNG TU'!$L158,0)</f>
        <v>0</v>
      </c>
      <c r="N167" s="192">
        <f>IF(M167&lt;&gt;0,'CHUNG TU'!I158,"")</f>
      </c>
    </row>
    <row r="168" spans="2:14" ht="12.75">
      <c r="B168" s="192">
        <f>IF($F168+$M168&lt;&gt;0,'CHUNG TU'!A159,"")</f>
      </c>
      <c r="C168" s="192">
        <f>IF($F168+$M168&lt;&gt;0,IF('CHUNG TU'!B159&lt;&gt;"",'CHUNG TU'!B159,IF('CHUNG TU'!C159&lt;&gt;"",'CHUNG TU'!C159,'CHUNG TU'!D159)),"")</f>
      </c>
      <c r="D168" s="192">
        <f>IF($F168+$M168&lt;&gt;0,'CHUNG TU'!F159,"")</f>
      </c>
      <c r="E168" s="192">
        <f>IF($F168+$M168&lt;&gt;0,'CHUNG TU'!H159,"")</f>
      </c>
      <c r="F168" s="192">
        <f>IF(LEFT('CHUNG TU'!I159,3)='CPSXKD 622'!$H$7,'CHUNG TU'!$L159,0)</f>
        <v>0</v>
      </c>
      <c r="G168" s="192">
        <f>IF(AND($F168&lt;&gt;0,LEFT('CHUNG TU'!$J159,LEN('CPSXKD 622'!G$10))='CPSXKD 622'!G$10),'CPSXKD 622'!$F168,0)</f>
        <v>0</v>
      </c>
      <c r="H168" s="192">
        <f>IF(AND($F168&lt;&gt;0,LEFT('CHUNG TU'!$J159,LEN('CPSXKD 622'!H$10))='CPSXKD 622'!H$10),'CPSXKD 622'!$F168,0)</f>
        <v>0</v>
      </c>
      <c r="I168" s="192">
        <f>IF(AND($F168&lt;&gt;0,LEFT('CHUNG TU'!$J159,LEN('CPSXKD 622'!I$10))='CPSXKD 622'!I$10),'CPSXKD 622'!$F168,0)</f>
        <v>0</v>
      </c>
      <c r="J168" s="192">
        <f>IF(AND($F168&lt;&gt;0,LEFT('CHUNG TU'!$J159,LEN('CPSXKD 622'!J$10))='CPSXKD 622'!J$10),'CPSXKD 622'!$F168,0)</f>
        <v>0</v>
      </c>
      <c r="K168" s="192">
        <f t="shared" si="3"/>
        <v>0</v>
      </c>
      <c r="L168" s="201">
        <f>IF(F168&lt;&gt;0,'CHUNG TU'!J159,"")</f>
      </c>
      <c r="M168" s="192">
        <f>IF(LEFT('CHUNG TU'!J159,3)='CPSXKD 622'!$H$7,'CHUNG TU'!$L159,0)</f>
        <v>0</v>
      </c>
      <c r="N168" s="192">
        <f>IF(M168&lt;&gt;0,'CHUNG TU'!I159,"")</f>
      </c>
    </row>
    <row r="169" spans="2:14" ht="12.75">
      <c r="B169" s="192">
        <f>IF($F169+$M169&lt;&gt;0,'CHUNG TU'!A160,"")</f>
      </c>
      <c r="C169" s="192">
        <f>IF($F169+$M169&lt;&gt;0,IF('CHUNG TU'!B160&lt;&gt;"",'CHUNG TU'!B160,IF('CHUNG TU'!C160&lt;&gt;"",'CHUNG TU'!C160,'CHUNG TU'!D160)),"")</f>
      </c>
      <c r="D169" s="192">
        <f>IF($F169+$M169&lt;&gt;0,'CHUNG TU'!F160,"")</f>
      </c>
      <c r="E169" s="192">
        <f>IF($F169+$M169&lt;&gt;0,'CHUNG TU'!H160,"")</f>
      </c>
      <c r="F169" s="192">
        <f>IF(LEFT('CHUNG TU'!I160,3)='CPSXKD 622'!$H$7,'CHUNG TU'!$L160,0)</f>
        <v>0</v>
      </c>
      <c r="G169" s="192">
        <f>IF(AND($F169&lt;&gt;0,LEFT('CHUNG TU'!$J160,LEN('CPSXKD 622'!G$10))='CPSXKD 622'!G$10),'CPSXKD 622'!$F169,0)</f>
        <v>0</v>
      </c>
      <c r="H169" s="192">
        <f>IF(AND($F169&lt;&gt;0,LEFT('CHUNG TU'!$J160,LEN('CPSXKD 622'!H$10))='CPSXKD 622'!H$10),'CPSXKD 622'!$F169,0)</f>
        <v>0</v>
      </c>
      <c r="I169" s="192">
        <f>IF(AND($F169&lt;&gt;0,LEFT('CHUNG TU'!$J160,LEN('CPSXKD 622'!I$10))='CPSXKD 622'!I$10),'CPSXKD 622'!$F169,0)</f>
        <v>0</v>
      </c>
      <c r="J169" s="192">
        <f>IF(AND($F169&lt;&gt;0,LEFT('CHUNG TU'!$J160,LEN('CPSXKD 622'!J$10))='CPSXKD 622'!J$10),'CPSXKD 622'!$F169,0)</f>
        <v>0</v>
      </c>
      <c r="K169" s="192">
        <f t="shared" si="3"/>
        <v>0</v>
      </c>
      <c r="L169" s="201">
        <f>IF(F169&lt;&gt;0,'CHUNG TU'!J160,"")</f>
      </c>
      <c r="M169" s="192">
        <f>IF(LEFT('CHUNG TU'!J160,3)='CPSXKD 622'!$H$7,'CHUNG TU'!$L160,0)</f>
        <v>0</v>
      </c>
      <c r="N169" s="192">
        <f>IF(M169&lt;&gt;0,'CHUNG TU'!I160,"")</f>
      </c>
    </row>
    <row r="170" spans="2:14" ht="12.75">
      <c r="B170" s="192">
        <f>IF($F170+$M170&lt;&gt;0,'CHUNG TU'!A161,"")</f>
      </c>
      <c r="C170" s="192">
        <f>IF($F170+$M170&lt;&gt;0,IF('CHUNG TU'!B161&lt;&gt;"",'CHUNG TU'!B161,IF('CHUNG TU'!C161&lt;&gt;"",'CHUNG TU'!C161,'CHUNG TU'!D161)),"")</f>
      </c>
      <c r="D170" s="192">
        <f>IF($F170+$M170&lt;&gt;0,'CHUNG TU'!F161,"")</f>
      </c>
      <c r="E170" s="192">
        <f>IF($F170+$M170&lt;&gt;0,'CHUNG TU'!H161,"")</f>
      </c>
      <c r="F170" s="192">
        <f>IF(LEFT('CHUNG TU'!I161,3)='CPSXKD 622'!$H$7,'CHUNG TU'!$L161,0)</f>
        <v>0</v>
      </c>
      <c r="G170" s="192">
        <f>IF(AND($F170&lt;&gt;0,LEFT('CHUNG TU'!$J161,LEN('CPSXKD 622'!G$10))='CPSXKD 622'!G$10),'CPSXKD 622'!$F170,0)</f>
        <v>0</v>
      </c>
      <c r="H170" s="192">
        <f>IF(AND($F170&lt;&gt;0,LEFT('CHUNG TU'!$J161,LEN('CPSXKD 622'!H$10))='CPSXKD 622'!H$10),'CPSXKD 622'!$F170,0)</f>
        <v>0</v>
      </c>
      <c r="I170" s="192">
        <f>IF(AND($F170&lt;&gt;0,LEFT('CHUNG TU'!$J161,LEN('CPSXKD 622'!I$10))='CPSXKD 622'!I$10),'CPSXKD 622'!$F170,0)</f>
        <v>0</v>
      </c>
      <c r="J170" s="192">
        <f>IF(AND($F170&lt;&gt;0,LEFT('CHUNG TU'!$J161,LEN('CPSXKD 622'!J$10))='CPSXKD 622'!J$10),'CPSXKD 622'!$F170,0)</f>
        <v>0</v>
      </c>
      <c r="K170" s="192">
        <f t="shared" si="3"/>
        <v>0</v>
      </c>
      <c r="L170" s="201">
        <f>IF(F170&lt;&gt;0,'CHUNG TU'!J161,"")</f>
      </c>
      <c r="M170" s="192">
        <f>IF(LEFT('CHUNG TU'!J161,3)='CPSXKD 622'!$H$7,'CHUNG TU'!$L161,0)</f>
        <v>0</v>
      </c>
      <c r="N170" s="192">
        <f>IF(M170&lt;&gt;0,'CHUNG TU'!I161,"")</f>
      </c>
    </row>
    <row r="171" spans="2:14" ht="12.75">
      <c r="B171" s="192">
        <f>IF($F171+$M171&lt;&gt;0,'CHUNG TU'!A162,"")</f>
      </c>
      <c r="C171" s="192">
        <f>IF($F171+$M171&lt;&gt;0,IF('CHUNG TU'!B162&lt;&gt;"",'CHUNG TU'!B162,IF('CHUNG TU'!C162&lt;&gt;"",'CHUNG TU'!C162,'CHUNG TU'!D162)),"")</f>
      </c>
      <c r="D171" s="192">
        <f>IF($F171+$M171&lt;&gt;0,'CHUNG TU'!F162,"")</f>
      </c>
      <c r="E171" s="192">
        <f>IF($F171+$M171&lt;&gt;0,'CHUNG TU'!H162,"")</f>
      </c>
      <c r="F171" s="192">
        <f>IF(LEFT('CHUNG TU'!I162,3)='CPSXKD 622'!$H$7,'CHUNG TU'!$L162,0)</f>
        <v>0</v>
      </c>
      <c r="G171" s="192">
        <f>IF(AND($F171&lt;&gt;0,LEFT('CHUNG TU'!$J162,LEN('CPSXKD 622'!G$10))='CPSXKD 622'!G$10),'CPSXKD 622'!$F171,0)</f>
        <v>0</v>
      </c>
      <c r="H171" s="192">
        <f>IF(AND($F171&lt;&gt;0,LEFT('CHUNG TU'!$J162,LEN('CPSXKD 622'!H$10))='CPSXKD 622'!H$10),'CPSXKD 622'!$F171,0)</f>
        <v>0</v>
      </c>
      <c r="I171" s="192">
        <f>IF(AND($F171&lt;&gt;0,LEFT('CHUNG TU'!$J162,LEN('CPSXKD 622'!I$10))='CPSXKD 622'!I$10),'CPSXKD 622'!$F171,0)</f>
        <v>0</v>
      </c>
      <c r="J171" s="192">
        <f>IF(AND($F171&lt;&gt;0,LEFT('CHUNG TU'!$J162,LEN('CPSXKD 622'!J$10))='CPSXKD 622'!J$10),'CPSXKD 622'!$F171,0)</f>
        <v>0</v>
      </c>
      <c r="K171" s="192">
        <f t="shared" si="3"/>
        <v>0</v>
      </c>
      <c r="L171" s="201">
        <f>IF(F171&lt;&gt;0,'CHUNG TU'!J162,"")</f>
      </c>
      <c r="M171" s="192">
        <f>IF(LEFT('CHUNG TU'!J162,3)='CPSXKD 622'!$H$7,'CHUNG TU'!$L162,0)</f>
        <v>0</v>
      </c>
      <c r="N171" s="192">
        <f>IF(M171&lt;&gt;0,'CHUNG TU'!I162,"")</f>
      </c>
    </row>
    <row r="172" spans="2:14" ht="12.75">
      <c r="B172" s="192">
        <f>IF($F172+$M172&lt;&gt;0,'CHUNG TU'!A163,"")</f>
      </c>
      <c r="C172" s="192">
        <f>IF($F172+$M172&lt;&gt;0,IF('CHUNG TU'!B163&lt;&gt;"",'CHUNG TU'!B163,IF('CHUNG TU'!C163&lt;&gt;"",'CHUNG TU'!C163,'CHUNG TU'!D163)),"")</f>
      </c>
      <c r="D172" s="192">
        <f>IF($F172+$M172&lt;&gt;0,'CHUNG TU'!F163,"")</f>
      </c>
      <c r="E172" s="192">
        <f>IF($F172+$M172&lt;&gt;0,'CHUNG TU'!H163,"")</f>
      </c>
      <c r="F172" s="192">
        <f>IF(LEFT('CHUNG TU'!I163,3)='CPSXKD 622'!$H$7,'CHUNG TU'!$L163,0)</f>
        <v>0</v>
      </c>
      <c r="G172" s="192">
        <f>IF(AND($F172&lt;&gt;0,LEFT('CHUNG TU'!$J163,LEN('CPSXKD 622'!G$10))='CPSXKD 622'!G$10),'CPSXKD 622'!$F172,0)</f>
        <v>0</v>
      </c>
      <c r="H172" s="192">
        <f>IF(AND($F172&lt;&gt;0,LEFT('CHUNG TU'!$J163,LEN('CPSXKD 622'!H$10))='CPSXKD 622'!H$10),'CPSXKD 622'!$F172,0)</f>
        <v>0</v>
      </c>
      <c r="I172" s="192">
        <f>IF(AND($F172&lt;&gt;0,LEFT('CHUNG TU'!$J163,LEN('CPSXKD 622'!I$10))='CPSXKD 622'!I$10),'CPSXKD 622'!$F172,0)</f>
        <v>0</v>
      </c>
      <c r="J172" s="192">
        <f>IF(AND($F172&lt;&gt;0,LEFT('CHUNG TU'!$J163,LEN('CPSXKD 622'!J$10))='CPSXKD 622'!J$10),'CPSXKD 622'!$F172,0)</f>
        <v>0</v>
      </c>
      <c r="K172" s="192">
        <f t="shared" si="3"/>
        <v>0</v>
      </c>
      <c r="L172" s="201">
        <f>IF(F172&lt;&gt;0,'CHUNG TU'!J163,"")</f>
      </c>
      <c r="M172" s="192">
        <f>IF(LEFT('CHUNG TU'!J163,3)='CPSXKD 622'!$H$7,'CHUNG TU'!$L163,0)</f>
        <v>0</v>
      </c>
      <c r="N172" s="192">
        <f>IF(M172&lt;&gt;0,'CHUNG TU'!I163,"")</f>
      </c>
    </row>
    <row r="173" spans="2:14" ht="12.75">
      <c r="B173" s="192">
        <f>IF($F173+$M173&lt;&gt;0,'CHUNG TU'!A164,"")</f>
      </c>
      <c r="C173" s="192">
        <f>IF($F173+$M173&lt;&gt;0,IF('CHUNG TU'!B164&lt;&gt;"",'CHUNG TU'!B164,IF('CHUNG TU'!C164&lt;&gt;"",'CHUNG TU'!C164,'CHUNG TU'!D164)),"")</f>
      </c>
      <c r="D173" s="192">
        <f>IF($F173+$M173&lt;&gt;0,'CHUNG TU'!F164,"")</f>
      </c>
      <c r="E173" s="192">
        <f>IF($F173+$M173&lt;&gt;0,'CHUNG TU'!H164,"")</f>
      </c>
      <c r="F173" s="192">
        <f>IF(LEFT('CHUNG TU'!I164,3)='CPSXKD 622'!$H$7,'CHUNG TU'!$L164,0)</f>
        <v>0</v>
      </c>
      <c r="G173" s="192">
        <f>IF(AND($F173&lt;&gt;0,LEFT('CHUNG TU'!$J164,LEN('CPSXKD 622'!G$10))='CPSXKD 622'!G$10),'CPSXKD 622'!$F173,0)</f>
        <v>0</v>
      </c>
      <c r="H173" s="192">
        <f>IF(AND($F173&lt;&gt;0,LEFT('CHUNG TU'!$J164,LEN('CPSXKD 622'!H$10))='CPSXKD 622'!H$10),'CPSXKD 622'!$F173,0)</f>
        <v>0</v>
      </c>
      <c r="I173" s="192">
        <f>IF(AND($F173&lt;&gt;0,LEFT('CHUNG TU'!$J164,LEN('CPSXKD 622'!I$10))='CPSXKD 622'!I$10),'CPSXKD 622'!$F173,0)</f>
        <v>0</v>
      </c>
      <c r="J173" s="192">
        <f>IF(AND($F173&lt;&gt;0,LEFT('CHUNG TU'!$J164,LEN('CPSXKD 622'!J$10))='CPSXKD 622'!J$10),'CPSXKD 622'!$F173,0)</f>
        <v>0</v>
      </c>
      <c r="K173" s="192">
        <f t="shared" si="3"/>
        <v>0</v>
      </c>
      <c r="L173" s="201">
        <f>IF(F173&lt;&gt;0,'CHUNG TU'!J164,"")</f>
      </c>
      <c r="M173" s="192">
        <f>IF(LEFT('CHUNG TU'!J164,3)='CPSXKD 622'!$H$7,'CHUNG TU'!$L164,0)</f>
        <v>0</v>
      </c>
      <c r="N173" s="192">
        <f>IF(M173&lt;&gt;0,'CHUNG TU'!I164,"")</f>
      </c>
    </row>
    <row r="174" spans="2:14" ht="12.75">
      <c r="B174" s="192">
        <f>IF($F174+$M174&lt;&gt;0,'CHUNG TU'!A165,"")</f>
      </c>
      <c r="C174" s="192">
        <f>IF($F174+$M174&lt;&gt;0,IF('CHUNG TU'!B165&lt;&gt;"",'CHUNG TU'!B165,IF('CHUNG TU'!C165&lt;&gt;"",'CHUNG TU'!C165,'CHUNG TU'!D165)),"")</f>
      </c>
      <c r="D174" s="192">
        <f>IF($F174+$M174&lt;&gt;0,'CHUNG TU'!F165,"")</f>
      </c>
      <c r="E174" s="192">
        <f>IF($F174+$M174&lt;&gt;0,'CHUNG TU'!H165,"")</f>
      </c>
      <c r="F174" s="192">
        <f>IF(LEFT('CHUNG TU'!I165,3)='CPSXKD 622'!$H$7,'CHUNG TU'!$L165,0)</f>
        <v>0</v>
      </c>
      <c r="G174" s="192">
        <f>IF(AND($F174&lt;&gt;0,LEFT('CHUNG TU'!$J165,LEN('CPSXKD 622'!G$10))='CPSXKD 622'!G$10),'CPSXKD 622'!$F174,0)</f>
        <v>0</v>
      </c>
      <c r="H174" s="192">
        <f>IF(AND($F174&lt;&gt;0,LEFT('CHUNG TU'!$J165,LEN('CPSXKD 622'!H$10))='CPSXKD 622'!H$10),'CPSXKD 622'!$F174,0)</f>
        <v>0</v>
      </c>
      <c r="I174" s="192">
        <f>IF(AND($F174&lt;&gt;0,LEFT('CHUNG TU'!$J165,LEN('CPSXKD 622'!I$10))='CPSXKD 622'!I$10),'CPSXKD 622'!$F174,0)</f>
        <v>0</v>
      </c>
      <c r="J174" s="192">
        <f>IF(AND($F174&lt;&gt;0,LEFT('CHUNG TU'!$J165,LEN('CPSXKD 622'!J$10))='CPSXKD 622'!J$10),'CPSXKD 622'!$F174,0)</f>
        <v>0</v>
      </c>
      <c r="K174" s="192">
        <f t="shared" si="3"/>
        <v>0</v>
      </c>
      <c r="L174" s="201">
        <f>IF(F174&lt;&gt;0,'CHUNG TU'!J165,"")</f>
      </c>
      <c r="M174" s="192">
        <f>IF(LEFT('CHUNG TU'!J165,3)='CPSXKD 622'!$H$7,'CHUNG TU'!$L165,0)</f>
        <v>0</v>
      </c>
      <c r="N174" s="192">
        <f>IF(M174&lt;&gt;0,'CHUNG TU'!I165,"")</f>
      </c>
    </row>
    <row r="175" spans="2:14" ht="12.75">
      <c r="B175" s="192">
        <f>IF($F175+$M175&lt;&gt;0,'CHUNG TU'!A166,"")</f>
      </c>
      <c r="C175" s="192">
        <f>IF($F175+$M175&lt;&gt;0,IF('CHUNG TU'!B166&lt;&gt;"",'CHUNG TU'!B166,IF('CHUNG TU'!C166&lt;&gt;"",'CHUNG TU'!C166,'CHUNG TU'!D166)),"")</f>
      </c>
      <c r="D175" s="192">
        <f>IF($F175+$M175&lt;&gt;0,'CHUNG TU'!F166,"")</f>
      </c>
      <c r="E175" s="192">
        <f>IF($F175+$M175&lt;&gt;0,'CHUNG TU'!H166,"")</f>
      </c>
      <c r="F175" s="192">
        <f>IF(LEFT('CHUNG TU'!I166,3)='CPSXKD 622'!$H$7,'CHUNG TU'!$L166,0)</f>
        <v>0</v>
      </c>
      <c r="G175" s="192">
        <f>IF(AND($F175&lt;&gt;0,LEFT('CHUNG TU'!$J166,LEN('CPSXKD 622'!G$10))='CPSXKD 622'!G$10),'CPSXKD 622'!$F175,0)</f>
        <v>0</v>
      </c>
      <c r="H175" s="192">
        <f>IF(AND($F175&lt;&gt;0,LEFT('CHUNG TU'!$J166,LEN('CPSXKD 622'!H$10))='CPSXKD 622'!H$10),'CPSXKD 622'!$F175,0)</f>
        <v>0</v>
      </c>
      <c r="I175" s="192">
        <f>IF(AND($F175&lt;&gt;0,LEFT('CHUNG TU'!$J166,LEN('CPSXKD 622'!I$10))='CPSXKD 622'!I$10),'CPSXKD 622'!$F175,0)</f>
        <v>0</v>
      </c>
      <c r="J175" s="192">
        <f>IF(AND($F175&lt;&gt;0,LEFT('CHUNG TU'!$J166,LEN('CPSXKD 622'!J$10))='CPSXKD 622'!J$10),'CPSXKD 622'!$F175,0)</f>
        <v>0</v>
      </c>
      <c r="K175" s="192">
        <f t="shared" si="3"/>
        <v>0</v>
      </c>
      <c r="L175" s="201">
        <f>IF(F175&lt;&gt;0,'CHUNG TU'!J166,"")</f>
      </c>
      <c r="M175" s="192">
        <f>IF(LEFT('CHUNG TU'!J166,3)='CPSXKD 622'!$H$7,'CHUNG TU'!$L166,0)</f>
        <v>0</v>
      </c>
      <c r="N175" s="192">
        <f>IF(M175&lt;&gt;0,'CHUNG TU'!I166,"")</f>
      </c>
    </row>
    <row r="176" spans="2:14" ht="12.75">
      <c r="B176" s="192">
        <f>IF($F176+$M176&lt;&gt;0,'CHUNG TU'!A167,"")</f>
      </c>
      <c r="C176" s="192">
        <f>IF($F176+$M176&lt;&gt;0,IF('CHUNG TU'!B167&lt;&gt;"",'CHUNG TU'!B167,IF('CHUNG TU'!C167&lt;&gt;"",'CHUNG TU'!C167,'CHUNG TU'!D167)),"")</f>
      </c>
      <c r="D176" s="192">
        <f>IF($F176+$M176&lt;&gt;0,'CHUNG TU'!F167,"")</f>
      </c>
      <c r="E176" s="192">
        <f>IF($F176+$M176&lt;&gt;0,'CHUNG TU'!H167,"")</f>
      </c>
      <c r="F176" s="192">
        <f>IF(LEFT('CHUNG TU'!I167,3)='CPSXKD 622'!$H$7,'CHUNG TU'!$L167,0)</f>
        <v>0</v>
      </c>
      <c r="G176" s="192">
        <f>IF(AND($F176&lt;&gt;0,LEFT('CHUNG TU'!$J167,LEN('CPSXKD 622'!G$10))='CPSXKD 622'!G$10),'CPSXKD 622'!$F176,0)</f>
        <v>0</v>
      </c>
      <c r="H176" s="192">
        <f>IF(AND($F176&lt;&gt;0,LEFT('CHUNG TU'!$J167,LEN('CPSXKD 622'!H$10))='CPSXKD 622'!H$10),'CPSXKD 622'!$F176,0)</f>
        <v>0</v>
      </c>
      <c r="I176" s="192">
        <f>IF(AND($F176&lt;&gt;0,LEFT('CHUNG TU'!$J167,LEN('CPSXKD 622'!I$10))='CPSXKD 622'!I$10),'CPSXKD 622'!$F176,0)</f>
        <v>0</v>
      </c>
      <c r="J176" s="192">
        <f>IF(AND($F176&lt;&gt;0,LEFT('CHUNG TU'!$J167,LEN('CPSXKD 622'!J$10))='CPSXKD 622'!J$10),'CPSXKD 622'!$F176,0)</f>
        <v>0</v>
      </c>
      <c r="K176" s="192">
        <f t="shared" si="3"/>
        <v>0</v>
      </c>
      <c r="L176" s="201">
        <f>IF(F176&lt;&gt;0,'CHUNG TU'!J167,"")</f>
      </c>
      <c r="M176" s="192">
        <f>IF(LEFT('CHUNG TU'!J167,3)='CPSXKD 622'!$H$7,'CHUNG TU'!$L167,0)</f>
        <v>0</v>
      </c>
      <c r="N176" s="192">
        <f>IF(M176&lt;&gt;0,'CHUNG TU'!I167,"")</f>
      </c>
    </row>
    <row r="177" spans="2:14" ht="12.75">
      <c r="B177" s="192">
        <f>IF($F177+$M177&lt;&gt;0,'CHUNG TU'!A168,"")</f>
      </c>
      <c r="C177" s="192">
        <f>IF($F177+$M177&lt;&gt;0,IF('CHUNG TU'!B168&lt;&gt;"",'CHUNG TU'!B168,IF('CHUNG TU'!C168&lt;&gt;"",'CHUNG TU'!C168,'CHUNG TU'!D168)),"")</f>
      </c>
      <c r="D177" s="192">
        <f>IF($F177+$M177&lt;&gt;0,'CHUNG TU'!F168,"")</f>
      </c>
      <c r="E177" s="192">
        <f>IF($F177+$M177&lt;&gt;0,'CHUNG TU'!H168,"")</f>
      </c>
      <c r="F177" s="192">
        <f>IF(LEFT('CHUNG TU'!I168,3)='CPSXKD 622'!$H$7,'CHUNG TU'!$L168,0)</f>
        <v>0</v>
      </c>
      <c r="G177" s="192">
        <f>IF(AND($F177&lt;&gt;0,LEFT('CHUNG TU'!$J168,LEN('CPSXKD 622'!G$10))='CPSXKD 622'!G$10),'CPSXKD 622'!$F177,0)</f>
        <v>0</v>
      </c>
      <c r="H177" s="192">
        <f>IF(AND($F177&lt;&gt;0,LEFT('CHUNG TU'!$J168,LEN('CPSXKD 622'!H$10))='CPSXKD 622'!H$10),'CPSXKD 622'!$F177,0)</f>
        <v>0</v>
      </c>
      <c r="I177" s="192">
        <f>IF(AND($F177&lt;&gt;0,LEFT('CHUNG TU'!$J168,LEN('CPSXKD 622'!I$10))='CPSXKD 622'!I$10),'CPSXKD 622'!$F177,0)</f>
        <v>0</v>
      </c>
      <c r="J177" s="192">
        <f>IF(AND($F177&lt;&gt;0,LEFT('CHUNG TU'!$J168,LEN('CPSXKD 622'!J$10))='CPSXKD 622'!J$10),'CPSXKD 622'!$F177,0)</f>
        <v>0</v>
      </c>
      <c r="K177" s="192">
        <f t="shared" si="3"/>
        <v>0</v>
      </c>
      <c r="L177" s="201">
        <f>IF(F177&lt;&gt;0,'CHUNG TU'!J168,"")</f>
      </c>
      <c r="M177" s="192">
        <f>IF(LEFT('CHUNG TU'!J168,3)='CPSXKD 622'!$H$7,'CHUNG TU'!$L168,0)</f>
        <v>0</v>
      </c>
      <c r="N177" s="192">
        <f>IF(M177&lt;&gt;0,'CHUNG TU'!I168,"")</f>
      </c>
    </row>
    <row r="178" spans="2:14" ht="12.75">
      <c r="B178" s="192">
        <f>IF($F178+$M178&lt;&gt;0,'CHUNG TU'!A169,"")</f>
      </c>
      <c r="C178" s="192">
        <f>IF($F178+$M178&lt;&gt;0,IF('CHUNG TU'!B169&lt;&gt;"",'CHUNG TU'!B169,IF('CHUNG TU'!C169&lt;&gt;"",'CHUNG TU'!C169,'CHUNG TU'!D169)),"")</f>
      </c>
      <c r="D178" s="192">
        <f>IF($F178+$M178&lt;&gt;0,'CHUNG TU'!F169,"")</f>
      </c>
      <c r="E178" s="192">
        <f>IF($F178+$M178&lt;&gt;0,'CHUNG TU'!H169,"")</f>
      </c>
      <c r="F178" s="192">
        <f>IF(LEFT('CHUNG TU'!I169,3)='CPSXKD 622'!$H$7,'CHUNG TU'!$L169,0)</f>
        <v>0</v>
      </c>
      <c r="G178" s="192">
        <f>IF(AND($F178&lt;&gt;0,LEFT('CHUNG TU'!$J169,LEN('CPSXKD 622'!G$10))='CPSXKD 622'!G$10),'CPSXKD 622'!$F178,0)</f>
        <v>0</v>
      </c>
      <c r="H178" s="192">
        <f>IF(AND($F178&lt;&gt;0,LEFT('CHUNG TU'!$J169,LEN('CPSXKD 622'!H$10))='CPSXKD 622'!H$10),'CPSXKD 622'!$F178,0)</f>
        <v>0</v>
      </c>
      <c r="I178" s="192">
        <f>IF(AND($F178&lt;&gt;0,LEFT('CHUNG TU'!$J169,LEN('CPSXKD 622'!I$10))='CPSXKD 622'!I$10),'CPSXKD 622'!$F178,0)</f>
        <v>0</v>
      </c>
      <c r="J178" s="192">
        <f>IF(AND($F178&lt;&gt;0,LEFT('CHUNG TU'!$J169,LEN('CPSXKD 622'!J$10))='CPSXKD 622'!J$10),'CPSXKD 622'!$F178,0)</f>
        <v>0</v>
      </c>
      <c r="K178" s="192">
        <f t="shared" si="3"/>
        <v>0</v>
      </c>
      <c r="L178" s="201">
        <f>IF(F178&lt;&gt;0,'CHUNG TU'!J169,"")</f>
      </c>
      <c r="M178" s="192">
        <f>IF(LEFT('CHUNG TU'!J169,3)='CPSXKD 622'!$H$7,'CHUNG TU'!$L169,0)</f>
        <v>0</v>
      </c>
      <c r="N178" s="192">
        <f>IF(M178&lt;&gt;0,'CHUNG TU'!I169,"")</f>
      </c>
    </row>
    <row r="179" spans="2:14" ht="12.75">
      <c r="B179" s="192">
        <f>IF($F179+$M179&lt;&gt;0,'CHUNG TU'!A170,"")</f>
      </c>
      <c r="C179" s="192">
        <f>IF($F179+$M179&lt;&gt;0,IF('CHUNG TU'!B170&lt;&gt;"",'CHUNG TU'!B170,IF('CHUNG TU'!C170&lt;&gt;"",'CHUNG TU'!C170,'CHUNG TU'!D170)),"")</f>
      </c>
      <c r="D179" s="192">
        <f>IF($F179+$M179&lt;&gt;0,'CHUNG TU'!F170,"")</f>
      </c>
      <c r="E179" s="192">
        <f>IF($F179+$M179&lt;&gt;0,'CHUNG TU'!H170,"")</f>
      </c>
      <c r="F179" s="192">
        <f>IF(LEFT('CHUNG TU'!I170,3)='CPSXKD 622'!$H$7,'CHUNG TU'!$L170,0)</f>
        <v>0</v>
      </c>
      <c r="G179" s="192">
        <f>IF(AND($F179&lt;&gt;0,LEFT('CHUNG TU'!$J170,LEN('CPSXKD 622'!G$10))='CPSXKD 622'!G$10),'CPSXKD 622'!$F179,0)</f>
        <v>0</v>
      </c>
      <c r="H179" s="192">
        <f>IF(AND($F179&lt;&gt;0,LEFT('CHUNG TU'!$J170,LEN('CPSXKD 622'!H$10))='CPSXKD 622'!H$10),'CPSXKD 622'!$F179,0)</f>
        <v>0</v>
      </c>
      <c r="I179" s="192">
        <f>IF(AND($F179&lt;&gt;0,LEFT('CHUNG TU'!$J170,LEN('CPSXKD 622'!I$10))='CPSXKD 622'!I$10),'CPSXKD 622'!$F179,0)</f>
        <v>0</v>
      </c>
      <c r="J179" s="192">
        <f>IF(AND($F179&lt;&gt;0,LEFT('CHUNG TU'!$J170,LEN('CPSXKD 622'!J$10))='CPSXKD 622'!J$10),'CPSXKD 622'!$F179,0)</f>
        <v>0</v>
      </c>
      <c r="K179" s="192">
        <f t="shared" si="3"/>
        <v>0</v>
      </c>
      <c r="L179" s="201">
        <f>IF(F179&lt;&gt;0,'CHUNG TU'!J170,"")</f>
      </c>
      <c r="M179" s="192">
        <f>IF(LEFT('CHUNG TU'!J170,3)='CPSXKD 622'!$H$7,'CHUNG TU'!$L170,0)</f>
        <v>0</v>
      </c>
      <c r="N179" s="192">
        <f>IF(M179&lt;&gt;0,'CHUNG TU'!I170,"")</f>
      </c>
    </row>
    <row r="180" spans="2:14" ht="12.75">
      <c r="B180" s="192">
        <f>IF($F180+$M180&lt;&gt;0,'CHUNG TU'!A171,"")</f>
      </c>
      <c r="C180" s="192">
        <f>IF($F180+$M180&lt;&gt;0,IF('CHUNG TU'!B171&lt;&gt;"",'CHUNG TU'!B171,IF('CHUNG TU'!C171&lt;&gt;"",'CHUNG TU'!C171,'CHUNG TU'!D171)),"")</f>
      </c>
      <c r="D180" s="192">
        <f>IF($F180+$M180&lt;&gt;0,'CHUNG TU'!F171,"")</f>
      </c>
      <c r="E180" s="192">
        <f>IF($F180+$M180&lt;&gt;0,'CHUNG TU'!H171,"")</f>
      </c>
      <c r="F180" s="192">
        <f>IF(LEFT('CHUNG TU'!I171,3)='CPSXKD 622'!$H$7,'CHUNG TU'!$L171,0)</f>
        <v>0</v>
      </c>
      <c r="G180" s="192">
        <f>IF(AND($F180&lt;&gt;0,LEFT('CHUNG TU'!$J171,LEN('CPSXKD 622'!G$10))='CPSXKD 622'!G$10),'CPSXKD 622'!$F180,0)</f>
        <v>0</v>
      </c>
      <c r="H180" s="192">
        <f>IF(AND($F180&lt;&gt;0,LEFT('CHUNG TU'!$J171,LEN('CPSXKD 622'!H$10))='CPSXKD 622'!H$10),'CPSXKD 622'!$F180,0)</f>
        <v>0</v>
      </c>
      <c r="I180" s="192">
        <f>IF(AND($F180&lt;&gt;0,LEFT('CHUNG TU'!$J171,LEN('CPSXKD 622'!I$10))='CPSXKD 622'!I$10),'CPSXKD 622'!$F180,0)</f>
        <v>0</v>
      </c>
      <c r="J180" s="192">
        <f>IF(AND($F180&lt;&gt;0,LEFT('CHUNG TU'!$J171,LEN('CPSXKD 622'!J$10))='CPSXKD 622'!J$10),'CPSXKD 622'!$F180,0)</f>
        <v>0</v>
      </c>
      <c r="K180" s="192">
        <f t="shared" si="3"/>
        <v>0</v>
      </c>
      <c r="L180" s="201">
        <f>IF(F180&lt;&gt;0,'CHUNG TU'!J171,"")</f>
      </c>
      <c r="M180" s="192">
        <f>IF(LEFT('CHUNG TU'!J171,3)='CPSXKD 622'!$H$7,'CHUNG TU'!$L171,0)</f>
        <v>0</v>
      </c>
      <c r="N180" s="192">
        <f>IF(M180&lt;&gt;0,'CHUNG TU'!I171,"")</f>
      </c>
    </row>
    <row r="181" spans="2:14" ht="12.75">
      <c r="B181" s="192">
        <f>IF($F181+$M181&lt;&gt;0,'CHUNG TU'!A172,"")</f>
      </c>
      <c r="C181" s="192">
        <f>IF($F181+$M181&lt;&gt;0,IF('CHUNG TU'!B172&lt;&gt;"",'CHUNG TU'!B172,IF('CHUNG TU'!C172&lt;&gt;"",'CHUNG TU'!C172,'CHUNG TU'!D172)),"")</f>
      </c>
      <c r="D181" s="192">
        <f>IF($F181+$M181&lt;&gt;0,'CHUNG TU'!F172,"")</f>
      </c>
      <c r="E181" s="192">
        <f>IF($F181+$M181&lt;&gt;0,'CHUNG TU'!H172,"")</f>
      </c>
      <c r="F181" s="192">
        <f>IF(LEFT('CHUNG TU'!I172,3)='CPSXKD 622'!$H$7,'CHUNG TU'!$L172,0)</f>
        <v>0</v>
      </c>
      <c r="G181" s="192">
        <f>IF(AND($F181&lt;&gt;0,LEFT('CHUNG TU'!$J172,LEN('CPSXKD 622'!G$10))='CPSXKD 622'!G$10),'CPSXKD 622'!$F181,0)</f>
        <v>0</v>
      </c>
      <c r="H181" s="192">
        <f>IF(AND($F181&lt;&gt;0,LEFT('CHUNG TU'!$J172,LEN('CPSXKD 622'!H$10))='CPSXKD 622'!H$10),'CPSXKD 622'!$F181,0)</f>
        <v>0</v>
      </c>
      <c r="I181" s="192">
        <f>IF(AND($F181&lt;&gt;0,LEFT('CHUNG TU'!$J172,LEN('CPSXKD 622'!I$10))='CPSXKD 622'!I$10),'CPSXKD 622'!$F181,0)</f>
        <v>0</v>
      </c>
      <c r="J181" s="192">
        <f>IF(AND($F181&lt;&gt;0,LEFT('CHUNG TU'!$J172,LEN('CPSXKD 622'!J$10))='CPSXKD 622'!J$10),'CPSXKD 622'!$F181,0)</f>
        <v>0</v>
      </c>
      <c r="K181" s="192">
        <f t="shared" si="3"/>
        <v>0</v>
      </c>
      <c r="L181" s="201">
        <f>IF(F181&lt;&gt;0,'CHUNG TU'!J172,"")</f>
      </c>
      <c r="M181" s="192">
        <f>IF(LEFT('CHUNG TU'!J172,3)='CPSXKD 622'!$H$7,'CHUNG TU'!$L172,0)</f>
        <v>0</v>
      </c>
      <c r="N181" s="192">
        <f>IF(M181&lt;&gt;0,'CHUNG TU'!I172,"")</f>
      </c>
    </row>
    <row r="182" spans="2:14" ht="12.75">
      <c r="B182" s="192">
        <f>IF($F182+$M182&lt;&gt;0,'CHUNG TU'!A173,"")</f>
      </c>
      <c r="C182" s="192">
        <f>IF($F182+$M182&lt;&gt;0,IF('CHUNG TU'!B173&lt;&gt;"",'CHUNG TU'!B173,IF('CHUNG TU'!C173&lt;&gt;"",'CHUNG TU'!C173,'CHUNG TU'!D173)),"")</f>
      </c>
      <c r="D182" s="192">
        <f>IF($F182+$M182&lt;&gt;0,'CHUNG TU'!F173,"")</f>
      </c>
      <c r="E182" s="192">
        <f>IF($F182+$M182&lt;&gt;0,'CHUNG TU'!H173,"")</f>
      </c>
      <c r="F182" s="192">
        <f>IF(LEFT('CHUNG TU'!I173,3)='CPSXKD 622'!$H$7,'CHUNG TU'!$L173,0)</f>
        <v>0</v>
      </c>
      <c r="G182" s="192">
        <f>IF(AND($F182&lt;&gt;0,LEFT('CHUNG TU'!$J173,LEN('CPSXKD 622'!G$10))='CPSXKD 622'!G$10),'CPSXKD 622'!$F182,0)</f>
        <v>0</v>
      </c>
      <c r="H182" s="192">
        <f>IF(AND($F182&lt;&gt;0,LEFT('CHUNG TU'!$J173,LEN('CPSXKD 622'!H$10))='CPSXKD 622'!H$10),'CPSXKD 622'!$F182,0)</f>
        <v>0</v>
      </c>
      <c r="I182" s="192">
        <f>IF(AND($F182&lt;&gt;0,LEFT('CHUNG TU'!$J173,LEN('CPSXKD 622'!I$10))='CPSXKD 622'!I$10),'CPSXKD 622'!$F182,0)</f>
        <v>0</v>
      </c>
      <c r="J182" s="192">
        <f>IF(AND($F182&lt;&gt;0,LEFT('CHUNG TU'!$J173,LEN('CPSXKD 622'!J$10))='CPSXKD 622'!J$10),'CPSXKD 622'!$F182,0)</f>
        <v>0</v>
      </c>
      <c r="K182" s="192">
        <f t="shared" si="3"/>
        <v>0</v>
      </c>
      <c r="L182" s="201">
        <f>IF(F182&lt;&gt;0,'CHUNG TU'!J173,"")</f>
      </c>
      <c r="M182" s="192">
        <f>IF(LEFT('CHUNG TU'!J173,3)='CPSXKD 622'!$H$7,'CHUNG TU'!$L173,0)</f>
        <v>0</v>
      </c>
      <c r="N182" s="192">
        <f>IF(M182&lt;&gt;0,'CHUNG TU'!I173,"")</f>
      </c>
    </row>
    <row r="183" spans="2:14" ht="12.75">
      <c r="B183" s="192">
        <f>IF($F183+$M183&lt;&gt;0,'CHUNG TU'!A174,"")</f>
      </c>
      <c r="C183" s="192">
        <f>IF($F183+$M183&lt;&gt;0,IF('CHUNG TU'!B174&lt;&gt;"",'CHUNG TU'!B174,IF('CHUNG TU'!C174&lt;&gt;"",'CHUNG TU'!C174,'CHUNG TU'!D174)),"")</f>
      </c>
      <c r="D183" s="192">
        <f>IF($F183+$M183&lt;&gt;0,'CHUNG TU'!F174,"")</f>
      </c>
      <c r="E183" s="192">
        <f>IF($F183+$M183&lt;&gt;0,'CHUNG TU'!H174,"")</f>
      </c>
      <c r="F183" s="192">
        <f>IF(LEFT('CHUNG TU'!I174,3)='CPSXKD 622'!$H$7,'CHUNG TU'!$L174,0)</f>
        <v>0</v>
      </c>
      <c r="G183" s="192">
        <f>IF(AND($F183&lt;&gt;0,LEFT('CHUNG TU'!$J174,LEN('CPSXKD 622'!G$10))='CPSXKD 622'!G$10),'CPSXKD 622'!$F183,0)</f>
        <v>0</v>
      </c>
      <c r="H183" s="192">
        <f>IF(AND($F183&lt;&gt;0,LEFT('CHUNG TU'!$J174,LEN('CPSXKD 622'!H$10))='CPSXKD 622'!H$10),'CPSXKD 622'!$F183,0)</f>
        <v>0</v>
      </c>
      <c r="I183" s="192">
        <f>IF(AND($F183&lt;&gt;0,LEFT('CHUNG TU'!$J174,LEN('CPSXKD 622'!I$10))='CPSXKD 622'!I$10),'CPSXKD 622'!$F183,0)</f>
        <v>0</v>
      </c>
      <c r="J183" s="192">
        <f>IF(AND($F183&lt;&gt;0,LEFT('CHUNG TU'!$J174,LEN('CPSXKD 622'!J$10))='CPSXKD 622'!J$10),'CPSXKD 622'!$F183,0)</f>
        <v>0</v>
      </c>
      <c r="K183" s="192">
        <f t="shared" si="3"/>
        <v>0</v>
      </c>
      <c r="L183" s="201">
        <f>IF(F183&lt;&gt;0,'CHUNG TU'!J174,"")</f>
      </c>
      <c r="M183" s="192">
        <f>IF(LEFT('CHUNG TU'!J174,3)='CPSXKD 622'!$H$7,'CHUNG TU'!$L174,0)</f>
        <v>0</v>
      </c>
      <c r="N183" s="192">
        <f>IF(M183&lt;&gt;0,'CHUNG TU'!I174,"")</f>
      </c>
    </row>
    <row r="184" spans="2:14" ht="12.75">
      <c r="B184" s="192">
        <f>IF($F184+$M184&lt;&gt;0,'CHUNG TU'!A175,"")</f>
      </c>
      <c r="C184" s="192">
        <f>IF($F184+$M184&lt;&gt;0,IF('CHUNG TU'!B175&lt;&gt;"",'CHUNG TU'!B175,IF('CHUNG TU'!C175&lt;&gt;"",'CHUNG TU'!C175,'CHUNG TU'!D175)),"")</f>
      </c>
      <c r="D184" s="192">
        <f>IF($F184+$M184&lt;&gt;0,'CHUNG TU'!F175,"")</f>
      </c>
      <c r="E184" s="192">
        <f>IF($F184+$M184&lt;&gt;0,'CHUNG TU'!H175,"")</f>
      </c>
      <c r="F184" s="192">
        <f>IF(LEFT('CHUNG TU'!I175,3)='CPSXKD 622'!$H$7,'CHUNG TU'!$L175,0)</f>
        <v>0</v>
      </c>
      <c r="G184" s="192">
        <f>IF(AND($F184&lt;&gt;0,LEFT('CHUNG TU'!$J175,LEN('CPSXKD 622'!G$10))='CPSXKD 622'!G$10),'CPSXKD 622'!$F184,0)</f>
        <v>0</v>
      </c>
      <c r="H184" s="192">
        <f>IF(AND($F184&lt;&gt;0,LEFT('CHUNG TU'!$J175,LEN('CPSXKD 622'!H$10))='CPSXKD 622'!H$10),'CPSXKD 622'!$F184,0)</f>
        <v>0</v>
      </c>
      <c r="I184" s="192">
        <f>IF(AND($F184&lt;&gt;0,LEFT('CHUNG TU'!$J175,LEN('CPSXKD 622'!I$10))='CPSXKD 622'!I$10),'CPSXKD 622'!$F184,0)</f>
        <v>0</v>
      </c>
      <c r="J184" s="192">
        <f>IF(AND($F184&lt;&gt;0,LEFT('CHUNG TU'!$J175,LEN('CPSXKD 622'!J$10))='CPSXKD 622'!J$10),'CPSXKD 622'!$F184,0)</f>
        <v>0</v>
      </c>
      <c r="K184" s="192">
        <f t="shared" si="3"/>
        <v>0</v>
      </c>
      <c r="L184" s="201">
        <f>IF(F184&lt;&gt;0,'CHUNG TU'!J175,"")</f>
      </c>
      <c r="M184" s="192">
        <f>IF(LEFT('CHUNG TU'!J175,3)='CPSXKD 622'!$H$7,'CHUNG TU'!$L175,0)</f>
        <v>0</v>
      </c>
      <c r="N184" s="192">
        <f>IF(M184&lt;&gt;0,'CHUNG TU'!I175,"")</f>
      </c>
    </row>
    <row r="185" spans="2:14" ht="12.75">
      <c r="B185" s="192">
        <f>IF($F185+$M185&lt;&gt;0,'CHUNG TU'!A176,"")</f>
      </c>
      <c r="C185" s="192">
        <f>IF($F185+$M185&lt;&gt;0,IF('CHUNG TU'!B176&lt;&gt;"",'CHUNG TU'!B176,IF('CHUNG TU'!C176&lt;&gt;"",'CHUNG TU'!C176,'CHUNG TU'!D176)),"")</f>
      </c>
      <c r="D185" s="192">
        <f>IF($F185+$M185&lt;&gt;0,'CHUNG TU'!F176,"")</f>
      </c>
      <c r="E185" s="192">
        <f>IF($F185+$M185&lt;&gt;0,'CHUNG TU'!H176,"")</f>
      </c>
      <c r="F185" s="192">
        <f>IF(LEFT('CHUNG TU'!I176,3)='CPSXKD 622'!$H$7,'CHUNG TU'!$L176,0)</f>
        <v>0</v>
      </c>
      <c r="G185" s="192">
        <f>IF(AND($F185&lt;&gt;0,LEFT('CHUNG TU'!$J176,LEN('CPSXKD 622'!G$10))='CPSXKD 622'!G$10),'CPSXKD 622'!$F185,0)</f>
        <v>0</v>
      </c>
      <c r="H185" s="192">
        <f>IF(AND($F185&lt;&gt;0,LEFT('CHUNG TU'!$J176,LEN('CPSXKD 622'!H$10))='CPSXKD 622'!H$10),'CPSXKD 622'!$F185,0)</f>
        <v>0</v>
      </c>
      <c r="I185" s="192">
        <f>IF(AND($F185&lt;&gt;0,LEFT('CHUNG TU'!$J176,LEN('CPSXKD 622'!I$10))='CPSXKD 622'!I$10),'CPSXKD 622'!$F185,0)</f>
        <v>0</v>
      </c>
      <c r="J185" s="192">
        <f>IF(AND($F185&lt;&gt;0,LEFT('CHUNG TU'!$J176,LEN('CPSXKD 622'!J$10))='CPSXKD 622'!J$10),'CPSXKD 622'!$F185,0)</f>
        <v>0</v>
      </c>
      <c r="K185" s="192">
        <f t="shared" si="3"/>
        <v>0</v>
      </c>
      <c r="L185" s="201">
        <f>IF(F185&lt;&gt;0,'CHUNG TU'!J176,"")</f>
      </c>
      <c r="M185" s="192">
        <f>IF(LEFT('CHUNG TU'!J176,3)='CPSXKD 622'!$H$7,'CHUNG TU'!$L176,0)</f>
        <v>0</v>
      </c>
      <c r="N185" s="192">
        <f>IF(M185&lt;&gt;0,'CHUNG TU'!I176,"")</f>
      </c>
    </row>
    <row r="186" spans="2:14" ht="12.75">
      <c r="B186" s="192">
        <f>IF($F186+$M186&lt;&gt;0,'CHUNG TU'!A177,"")</f>
      </c>
      <c r="C186" s="192">
        <f>IF($F186+$M186&lt;&gt;0,IF('CHUNG TU'!B177&lt;&gt;"",'CHUNG TU'!B177,IF('CHUNG TU'!C177&lt;&gt;"",'CHUNG TU'!C177,'CHUNG TU'!D177)),"")</f>
      </c>
      <c r="D186" s="192">
        <f>IF($F186+$M186&lt;&gt;0,'CHUNG TU'!F177,"")</f>
      </c>
      <c r="E186" s="192">
        <f>IF($F186+$M186&lt;&gt;0,'CHUNG TU'!H177,"")</f>
      </c>
      <c r="F186" s="192">
        <f>IF(LEFT('CHUNG TU'!I177,3)='CPSXKD 622'!$H$7,'CHUNG TU'!$L177,0)</f>
        <v>0</v>
      </c>
      <c r="G186" s="192">
        <f>IF(AND($F186&lt;&gt;0,LEFT('CHUNG TU'!$J177,LEN('CPSXKD 622'!G$10))='CPSXKD 622'!G$10),'CPSXKD 622'!$F186,0)</f>
        <v>0</v>
      </c>
      <c r="H186" s="192">
        <f>IF(AND($F186&lt;&gt;0,LEFT('CHUNG TU'!$J177,LEN('CPSXKD 622'!H$10))='CPSXKD 622'!H$10),'CPSXKD 622'!$F186,0)</f>
        <v>0</v>
      </c>
      <c r="I186" s="192">
        <f>IF(AND($F186&lt;&gt;0,LEFT('CHUNG TU'!$J177,LEN('CPSXKD 622'!I$10))='CPSXKD 622'!I$10),'CPSXKD 622'!$F186,0)</f>
        <v>0</v>
      </c>
      <c r="J186" s="192">
        <f>IF(AND($F186&lt;&gt;0,LEFT('CHUNG TU'!$J177,LEN('CPSXKD 622'!J$10))='CPSXKD 622'!J$10),'CPSXKD 622'!$F186,0)</f>
        <v>0</v>
      </c>
      <c r="K186" s="192">
        <f t="shared" si="3"/>
        <v>0</v>
      </c>
      <c r="L186" s="201">
        <f>IF(F186&lt;&gt;0,'CHUNG TU'!J177,"")</f>
      </c>
      <c r="M186" s="192">
        <f>IF(LEFT('CHUNG TU'!J177,3)='CPSXKD 622'!$H$7,'CHUNG TU'!$L177,0)</f>
        <v>0</v>
      </c>
      <c r="N186" s="192">
        <f>IF(M186&lt;&gt;0,'CHUNG TU'!I177,"")</f>
      </c>
    </row>
    <row r="187" spans="2:14" ht="12.75">
      <c r="B187" s="192">
        <f>IF($F187+$M187&lt;&gt;0,'CHUNG TU'!A178,"")</f>
      </c>
      <c r="C187" s="192">
        <f>IF($F187+$M187&lt;&gt;0,IF('CHUNG TU'!B178&lt;&gt;"",'CHUNG TU'!B178,IF('CHUNG TU'!C178&lt;&gt;"",'CHUNG TU'!C178,'CHUNG TU'!D178)),"")</f>
      </c>
      <c r="D187" s="192">
        <f>IF($F187+$M187&lt;&gt;0,'CHUNG TU'!F178,"")</f>
      </c>
      <c r="E187" s="192">
        <f>IF($F187+$M187&lt;&gt;0,'CHUNG TU'!H178,"")</f>
      </c>
      <c r="F187" s="192">
        <f>IF(LEFT('CHUNG TU'!I178,3)='CPSXKD 622'!$H$7,'CHUNG TU'!$L178,0)</f>
        <v>0</v>
      </c>
      <c r="G187" s="192">
        <f>IF(AND($F187&lt;&gt;0,LEFT('CHUNG TU'!$J178,LEN('CPSXKD 622'!G$10))='CPSXKD 622'!G$10),'CPSXKD 622'!$F187,0)</f>
        <v>0</v>
      </c>
      <c r="H187" s="192">
        <f>IF(AND($F187&lt;&gt;0,LEFT('CHUNG TU'!$J178,LEN('CPSXKD 622'!H$10))='CPSXKD 622'!H$10),'CPSXKD 622'!$F187,0)</f>
        <v>0</v>
      </c>
      <c r="I187" s="192">
        <f>IF(AND($F187&lt;&gt;0,LEFT('CHUNG TU'!$J178,LEN('CPSXKD 622'!I$10))='CPSXKD 622'!I$10),'CPSXKD 622'!$F187,0)</f>
        <v>0</v>
      </c>
      <c r="J187" s="192">
        <f>IF(AND($F187&lt;&gt;0,LEFT('CHUNG TU'!$J178,LEN('CPSXKD 622'!J$10))='CPSXKD 622'!J$10),'CPSXKD 622'!$F187,0)</f>
        <v>0</v>
      </c>
      <c r="K187" s="192">
        <f t="shared" si="3"/>
        <v>0</v>
      </c>
      <c r="L187" s="201">
        <f>IF(F187&lt;&gt;0,'CHUNG TU'!J178,"")</f>
      </c>
      <c r="M187" s="192">
        <f>IF(LEFT('CHUNG TU'!J178,3)='CPSXKD 622'!$H$7,'CHUNG TU'!$L178,0)</f>
        <v>0</v>
      </c>
      <c r="N187" s="192">
        <f>IF(M187&lt;&gt;0,'CHUNG TU'!I178,"")</f>
      </c>
    </row>
    <row r="188" spans="2:14" ht="12.75">
      <c r="B188" s="192">
        <f>IF($F188+$M188&lt;&gt;0,'CHUNG TU'!A179,"")</f>
      </c>
      <c r="C188" s="192">
        <f>IF($F188+$M188&lt;&gt;0,IF('CHUNG TU'!B179&lt;&gt;"",'CHUNG TU'!B179,IF('CHUNG TU'!C179&lt;&gt;"",'CHUNG TU'!C179,'CHUNG TU'!D179)),"")</f>
      </c>
      <c r="D188" s="192">
        <f>IF($F188+$M188&lt;&gt;0,'CHUNG TU'!F179,"")</f>
      </c>
      <c r="E188" s="192">
        <f>IF($F188+$M188&lt;&gt;0,'CHUNG TU'!H179,"")</f>
      </c>
      <c r="F188" s="192">
        <f>IF(LEFT('CHUNG TU'!I179,3)='CPSXKD 622'!$H$7,'CHUNG TU'!$L179,0)</f>
        <v>0</v>
      </c>
      <c r="G188" s="192">
        <f>IF(AND($F188&lt;&gt;0,LEFT('CHUNG TU'!$J179,LEN('CPSXKD 622'!G$10))='CPSXKD 622'!G$10),'CPSXKD 622'!$F188,0)</f>
        <v>0</v>
      </c>
      <c r="H188" s="192">
        <f>IF(AND($F188&lt;&gt;0,LEFT('CHUNG TU'!$J179,LEN('CPSXKD 622'!H$10))='CPSXKD 622'!H$10),'CPSXKD 622'!$F188,0)</f>
        <v>0</v>
      </c>
      <c r="I188" s="192">
        <f>IF(AND($F188&lt;&gt;0,LEFT('CHUNG TU'!$J179,LEN('CPSXKD 622'!I$10))='CPSXKD 622'!I$10),'CPSXKD 622'!$F188,0)</f>
        <v>0</v>
      </c>
      <c r="J188" s="192">
        <f>IF(AND($F188&lt;&gt;0,LEFT('CHUNG TU'!$J179,LEN('CPSXKD 622'!J$10))='CPSXKD 622'!J$10),'CPSXKD 622'!$F188,0)</f>
        <v>0</v>
      </c>
      <c r="K188" s="192">
        <f t="shared" si="3"/>
        <v>0</v>
      </c>
      <c r="L188" s="201">
        <f>IF(F188&lt;&gt;0,'CHUNG TU'!J179,"")</f>
      </c>
      <c r="M188" s="192">
        <f>IF(LEFT('CHUNG TU'!J179,3)='CPSXKD 622'!$H$7,'CHUNG TU'!$L179,0)</f>
        <v>0</v>
      </c>
      <c r="N188" s="192">
        <f>IF(M188&lt;&gt;0,'CHUNG TU'!I179,"")</f>
      </c>
    </row>
    <row r="189" spans="2:14" ht="12.75">
      <c r="B189" s="192">
        <f>IF($F189+$M189&lt;&gt;0,'CHUNG TU'!A180,"")</f>
      </c>
      <c r="C189" s="192">
        <f>IF($F189+$M189&lt;&gt;0,IF('CHUNG TU'!B180&lt;&gt;"",'CHUNG TU'!B180,IF('CHUNG TU'!C180&lt;&gt;"",'CHUNG TU'!C180,'CHUNG TU'!D180)),"")</f>
      </c>
      <c r="D189" s="192">
        <f>IF($F189+$M189&lt;&gt;0,'CHUNG TU'!F180,"")</f>
      </c>
      <c r="E189" s="192">
        <f>IF($F189+$M189&lt;&gt;0,'CHUNG TU'!H180,"")</f>
      </c>
      <c r="F189" s="192">
        <f>IF(LEFT('CHUNG TU'!I180,3)='CPSXKD 622'!$H$7,'CHUNG TU'!$L180,0)</f>
        <v>0</v>
      </c>
      <c r="G189" s="192">
        <f>IF(AND($F189&lt;&gt;0,LEFT('CHUNG TU'!$J180,LEN('CPSXKD 622'!G$10))='CPSXKD 622'!G$10),'CPSXKD 622'!$F189,0)</f>
        <v>0</v>
      </c>
      <c r="H189" s="192">
        <f>IF(AND($F189&lt;&gt;0,LEFT('CHUNG TU'!$J180,LEN('CPSXKD 622'!H$10))='CPSXKD 622'!H$10),'CPSXKD 622'!$F189,0)</f>
        <v>0</v>
      </c>
      <c r="I189" s="192">
        <f>IF(AND($F189&lt;&gt;0,LEFT('CHUNG TU'!$J180,LEN('CPSXKD 622'!I$10))='CPSXKD 622'!I$10),'CPSXKD 622'!$F189,0)</f>
        <v>0</v>
      </c>
      <c r="J189" s="192">
        <f>IF(AND($F189&lt;&gt;0,LEFT('CHUNG TU'!$J180,LEN('CPSXKD 622'!J$10))='CPSXKD 622'!J$10),'CPSXKD 622'!$F189,0)</f>
        <v>0</v>
      </c>
      <c r="K189" s="192">
        <f t="shared" si="3"/>
        <v>0</v>
      </c>
      <c r="L189" s="201">
        <f>IF(F189&lt;&gt;0,'CHUNG TU'!J180,"")</f>
      </c>
      <c r="M189" s="192">
        <f>IF(LEFT('CHUNG TU'!J180,3)='CPSXKD 622'!$H$7,'CHUNG TU'!$L180,0)</f>
        <v>0</v>
      </c>
      <c r="N189" s="192">
        <f>IF(M189&lt;&gt;0,'CHUNG TU'!I180,"")</f>
      </c>
    </row>
    <row r="190" spans="2:14" ht="12.75">
      <c r="B190" s="192">
        <f>IF($F190+$M190&lt;&gt;0,'CHUNG TU'!A181,"")</f>
      </c>
      <c r="C190" s="192">
        <f>IF($F190+$M190&lt;&gt;0,IF('CHUNG TU'!B181&lt;&gt;"",'CHUNG TU'!B181,IF('CHUNG TU'!C181&lt;&gt;"",'CHUNG TU'!C181,'CHUNG TU'!D181)),"")</f>
      </c>
      <c r="D190" s="192">
        <f>IF($F190+$M190&lt;&gt;0,'CHUNG TU'!F181,"")</f>
      </c>
      <c r="E190" s="192">
        <f>IF($F190+$M190&lt;&gt;0,'CHUNG TU'!H181,"")</f>
      </c>
      <c r="F190" s="192">
        <f>IF(LEFT('CHUNG TU'!I181,3)='CPSXKD 622'!$H$7,'CHUNG TU'!$L181,0)</f>
        <v>0</v>
      </c>
      <c r="G190" s="192">
        <f>IF(AND($F190&lt;&gt;0,LEFT('CHUNG TU'!$J181,LEN('CPSXKD 622'!G$10))='CPSXKD 622'!G$10),'CPSXKD 622'!$F190,0)</f>
        <v>0</v>
      </c>
      <c r="H190" s="192">
        <f>IF(AND($F190&lt;&gt;0,LEFT('CHUNG TU'!$J181,LEN('CPSXKD 622'!H$10))='CPSXKD 622'!H$10),'CPSXKD 622'!$F190,0)</f>
        <v>0</v>
      </c>
      <c r="I190" s="192">
        <f>IF(AND($F190&lt;&gt;0,LEFT('CHUNG TU'!$J181,LEN('CPSXKD 622'!I$10))='CPSXKD 622'!I$10),'CPSXKD 622'!$F190,0)</f>
        <v>0</v>
      </c>
      <c r="J190" s="192">
        <f>IF(AND($F190&lt;&gt;0,LEFT('CHUNG TU'!$J181,LEN('CPSXKD 622'!J$10))='CPSXKD 622'!J$10),'CPSXKD 622'!$F190,0)</f>
        <v>0</v>
      </c>
      <c r="K190" s="192">
        <f t="shared" si="3"/>
        <v>0</v>
      </c>
      <c r="L190" s="201">
        <f>IF(F190&lt;&gt;0,'CHUNG TU'!J181,"")</f>
      </c>
      <c r="M190" s="192">
        <f>IF(LEFT('CHUNG TU'!J181,3)='CPSXKD 622'!$H$7,'CHUNG TU'!$L181,0)</f>
        <v>0</v>
      </c>
      <c r="N190" s="192">
        <f>IF(M190&lt;&gt;0,'CHUNG TU'!I181,"")</f>
      </c>
    </row>
    <row r="191" spans="2:14" ht="12.75">
      <c r="B191" s="192">
        <f>IF($F191+$M191&lt;&gt;0,'CHUNG TU'!A182,"")</f>
      </c>
      <c r="C191" s="192">
        <f>IF($F191+$M191&lt;&gt;0,IF('CHUNG TU'!B182&lt;&gt;"",'CHUNG TU'!B182,IF('CHUNG TU'!C182&lt;&gt;"",'CHUNG TU'!C182,'CHUNG TU'!D182)),"")</f>
      </c>
      <c r="D191" s="192">
        <f>IF($F191+$M191&lt;&gt;0,'CHUNG TU'!F182,"")</f>
      </c>
      <c r="E191" s="192">
        <f>IF($F191+$M191&lt;&gt;0,'CHUNG TU'!H182,"")</f>
      </c>
      <c r="F191" s="192">
        <f>IF(LEFT('CHUNG TU'!I182,3)='CPSXKD 622'!$H$7,'CHUNG TU'!$L182,0)</f>
        <v>0</v>
      </c>
      <c r="G191" s="192">
        <f>IF(AND($F191&lt;&gt;0,LEFT('CHUNG TU'!$J182,LEN('CPSXKD 622'!G$10))='CPSXKD 622'!G$10),'CPSXKD 622'!$F191,0)</f>
        <v>0</v>
      </c>
      <c r="H191" s="192">
        <f>IF(AND($F191&lt;&gt;0,LEFT('CHUNG TU'!$J182,LEN('CPSXKD 622'!H$10))='CPSXKD 622'!H$10),'CPSXKD 622'!$F191,0)</f>
        <v>0</v>
      </c>
      <c r="I191" s="192">
        <f>IF(AND($F191&lt;&gt;0,LEFT('CHUNG TU'!$J182,LEN('CPSXKD 622'!I$10))='CPSXKD 622'!I$10),'CPSXKD 622'!$F191,0)</f>
        <v>0</v>
      </c>
      <c r="J191" s="192">
        <f>IF(AND($F191&lt;&gt;0,LEFT('CHUNG TU'!$J182,LEN('CPSXKD 622'!J$10))='CPSXKD 622'!J$10),'CPSXKD 622'!$F191,0)</f>
        <v>0</v>
      </c>
      <c r="K191" s="192">
        <f t="shared" si="3"/>
        <v>0</v>
      </c>
      <c r="L191" s="201">
        <f>IF(F191&lt;&gt;0,'CHUNG TU'!J182,"")</f>
      </c>
      <c r="M191" s="192">
        <f>IF(LEFT('CHUNG TU'!J182,3)='CPSXKD 622'!$H$7,'CHUNG TU'!$L182,0)</f>
        <v>0</v>
      </c>
      <c r="N191" s="192">
        <f>IF(M191&lt;&gt;0,'CHUNG TU'!I182,"")</f>
      </c>
    </row>
    <row r="192" spans="2:14" ht="12.75">
      <c r="B192" s="192">
        <f>IF($F192+$M192&lt;&gt;0,'CHUNG TU'!A183,"")</f>
      </c>
      <c r="C192" s="192">
        <f>IF($F192+$M192&lt;&gt;0,IF('CHUNG TU'!B183&lt;&gt;"",'CHUNG TU'!B183,IF('CHUNG TU'!C183&lt;&gt;"",'CHUNG TU'!C183,'CHUNG TU'!D183)),"")</f>
      </c>
      <c r="D192" s="192">
        <f>IF($F192+$M192&lt;&gt;0,'CHUNG TU'!F183,"")</f>
      </c>
      <c r="E192" s="192">
        <f>IF($F192+$M192&lt;&gt;0,'CHUNG TU'!H183,"")</f>
      </c>
      <c r="F192" s="192">
        <f>IF(LEFT('CHUNG TU'!I183,3)='CPSXKD 622'!$H$7,'CHUNG TU'!$L183,0)</f>
        <v>0</v>
      </c>
      <c r="G192" s="192">
        <f>IF(AND($F192&lt;&gt;0,LEFT('CHUNG TU'!$J183,LEN('CPSXKD 622'!G$10))='CPSXKD 622'!G$10),'CPSXKD 622'!$F192,0)</f>
        <v>0</v>
      </c>
      <c r="H192" s="192">
        <f>IF(AND($F192&lt;&gt;0,LEFT('CHUNG TU'!$J183,LEN('CPSXKD 622'!H$10))='CPSXKD 622'!H$10),'CPSXKD 622'!$F192,0)</f>
        <v>0</v>
      </c>
      <c r="I192" s="192">
        <f>IF(AND($F192&lt;&gt;0,LEFT('CHUNG TU'!$J183,LEN('CPSXKD 622'!I$10))='CPSXKD 622'!I$10),'CPSXKD 622'!$F192,0)</f>
        <v>0</v>
      </c>
      <c r="J192" s="192">
        <f>IF(AND($F192&lt;&gt;0,LEFT('CHUNG TU'!$J183,LEN('CPSXKD 622'!J$10))='CPSXKD 622'!J$10),'CPSXKD 622'!$F192,0)</f>
        <v>0</v>
      </c>
      <c r="K192" s="192">
        <f t="shared" si="3"/>
        <v>0</v>
      </c>
      <c r="L192" s="201">
        <f>IF(F192&lt;&gt;0,'CHUNG TU'!J183,"")</f>
      </c>
      <c r="M192" s="192">
        <f>IF(LEFT('CHUNG TU'!J183,3)='CPSXKD 622'!$H$7,'CHUNG TU'!$L183,0)</f>
        <v>0</v>
      </c>
      <c r="N192" s="192">
        <f>IF(M192&lt;&gt;0,'CHUNG TU'!I183,"")</f>
      </c>
    </row>
    <row r="193" spans="2:14" ht="12.75">
      <c r="B193" s="192">
        <f>IF($F193+$M193&lt;&gt;0,'CHUNG TU'!A184,"")</f>
      </c>
      <c r="C193" s="192">
        <f>IF($F193+$M193&lt;&gt;0,IF('CHUNG TU'!B184&lt;&gt;"",'CHUNG TU'!B184,IF('CHUNG TU'!C184&lt;&gt;"",'CHUNG TU'!C184,'CHUNG TU'!D184)),"")</f>
      </c>
      <c r="D193" s="192">
        <f>IF($F193+$M193&lt;&gt;0,'CHUNG TU'!F184,"")</f>
      </c>
      <c r="E193" s="192">
        <f>IF($F193+$M193&lt;&gt;0,'CHUNG TU'!H184,"")</f>
      </c>
      <c r="F193" s="192">
        <f>IF(LEFT('CHUNG TU'!I184,3)='CPSXKD 622'!$H$7,'CHUNG TU'!$L184,0)</f>
        <v>0</v>
      </c>
      <c r="G193" s="192">
        <f>IF(AND($F193&lt;&gt;0,LEFT('CHUNG TU'!$J184,LEN('CPSXKD 622'!G$10))='CPSXKD 622'!G$10),'CPSXKD 622'!$F193,0)</f>
        <v>0</v>
      </c>
      <c r="H193" s="192">
        <f>IF(AND($F193&lt;&gt;0,LEFT('CHUNG TU'!$J184,LEN('CPSXKD 622'!H$10))='CPSXKD 622'!H$10),'CPSXKD 622'!$F193,0)</f>
        <v>0</v>
      </c>
      <c r="I193" s="192">
        <f>IF(AND($F193&lt;&gt;0,LEFT('CHUNG TU'!$J184,LEN('CPSXKD 622'!I$10))='CPSXKD 622'!I$10),'CPSXKD 622'!$F193,0)</f>
        <v>0</v>
      </c>
      <c r="J193" s="192">
        <f>IF(AND($F193&lt;&gt;0,LEFT('CHUNG TU'!$J184,LEN('CPSXKD 622'!J$10))='CPSXKD 622'!J$10),'CPSXKD 622'!$F193,0)</f>
        <v>0</v>
      </c>
      <c r="K193" s="192">
        <f t="shared" si="3"/>
        <v>0</v>
      </c>
      <c r="L193" s="201">
        <f>IF(F193&lt;&gt;0,'CHUNG TU'!J184,"")</f>
      </c>
      <c r="M193" s="192">
        <f>IF(LEFT('CHUNG TU'!J184,3)='CPSXKD 622'!$H$7,'CHUNG TU'!$L184,0)</f>
        <v>0</v>
      </c>
      <c r="N193" s="192">
        <f>IF(M193&lt;&gt;0,'CHUNG TU'!I184,"")</f>
      </c>
    </row>
    <row r="194" spans="2:14" ht="12.75">
      <c r="B194" s="192">
        <f>IF($F194+$M194&lt;&gt;0,'CHUNG TU'!A185,"")</f>
      </c>
      <c r="C194" s="192">
        <f>IF($F194+$M194&lt;&gt;0,IF('CHUNG TU'!B185&lt;&gt;"",'CHUNG TU'!B185,IF('CHUNG TU'!C185&lt;&gt;"",'CHUNG TU'!C185,'CHUNG TU'!D185)),"")</f>
      </c>
      <c r="D194" s="192">
        <f>IF($F194+$M194&lt;&gt;0,'CHUNG TU'!F185,"")</f>
      </c>
      <c r="E194" s="192">
        <f>IF($F194+$M194&lt;&gt;0,'CHUNG TU'!H185,"")</f>
      </c>
      <c r="F194" s="192">
        <f>IF(LEFT('CHUNG TU'!I185,3)='CPSXKD 622'!$H$7,'CHUNG TU'!$L185,0)</f>
        <v>0</v>
      </c>
      <c r="G194" s="192">
        <f>IF(AND($F194&lt;&gt;0,LEFT('CHUNG TU'!$J185,LEN('CPSXKD 622'!G$10))='CPSXKD 622'!G$10),'CPSXKD 622'!$F194,0)</f>
        <v>0</v>
      </c>
      <c r="H194" s="192">
        <f>IF(AND($F194&lt;&gt;0,LEFT('CHUNG TU'!$J185,LEN('CPSXKD 622'!H$10))='CPSXKD 622'!H$10),'CPSXKD 622'!$F194,0)</f>
        <v>0</v>
      </c>
      <c r="I194" s="192">
        <f>IF(AND($F194&lt;&gt;0,LEFT('CHUNG TU'!$J185,LEN('CPSXKD 622'!I$10))='CPSXKD 622'!I$10),'CPSXKD 622'!$F194,0)</f>
        <v>0</v>
      </c>
      <c r="J194" s="192">
        <f>IF(AND($F194&lt;&gt;0,LEFT('CHUNG TU'!$J185,LEN('CPSXKD 622'!J$10))='CPSXKD 622'!J$10),'CPSXKD 622'!$F194,0)</f>
        <v>0</v>
      </c>
      <c r="K194" s="192">
        <f t="shared" si="3"/>
        <v>0</v>
      </c>
      <c r="L194" s="201">
        <f>IF(F194&lt;&gt;0,'CHUNG TU'!J185,"")</f>
      </c>
      <c r="M194" s="192">
        <f>IF(LEFT('CHUNG TU'!J185,3)='CPSXKD 622'!$H$7,'CHUNG TU'!$L185,0)</f>
        <v>0</v>
      </c>
      <c r="N194" s="192">
        <f>IF(M194&lt;&gt;0,'CHUNG TU'!I185,"")</f>
      </c>
    </row>
    <row r="195" spans="2:14" ht="12.75">
      <c r="B195" s="192">
        <f>IF($F195+$M195&lt;&gt;0,'CHUNG TU'!A186,"")</f>
      </c>
      <c r="C195" s="192">
        <f>IF($F195+$M195&lt;&gt;0,IF('CHUNG TU'!B186&lt;&gt;"",'CHUNG TU'!B186,IF('CHUNG TU'!C186&lt;&gt;"",'CHUNG TU'!C186,'CHUNG TU'!D186)),"")</f>
      </c>
      <c r="D195" s="192">
        <f>IF($F195+$M195&lt;&gt;0,'CHUNG TU'!F186,"")</f>
      </c>
      <c r="E195" s="192">
        <f>IF($F195+$M195&lt;&gt;0,'CHUNG TU'!H186,"")</f>
      </c>
      <c r="F195" s="192">
        <f>IF(LEFT('CHUNG TU'!I186,3)='CPSXKD 622'!$H$7,'CHUNG TU'!$L186,0)</f>
        <v>0</v>
      </c>
      <c r="G195" s="192">
        <f>IF(AND($F195&lt;&gt;0,LEFT('CHUNG TU'!$J186,LEN('CPSXKD 622'!G$10))='CPSXKD 622'!G$10),'CPSXKD 622'!$F195,0)</f>
        <v>0</v>
      </c>
      <c r="H195" s="192">
        <f>IF(AND($F195&lt;&gt;0,LEFT('CHUNG TU'!$J186,LEN('CPSXKD 622'!H$10))='CPSXKD 622'!H$10),'CPSXKD 622'!$F195,0)</f>
        <v>0</v>
      </c>
      <c r="I195" s="192">
        <f>IF(AND($F195&lt;&gt;0,LEFT('CHUNG TU'!$J186,LEN('CPSXKD 622'!I$10))='CPSXKD 622'!I$10),'CPSXKD 622'!$F195,0)</f>
        <v>0</v>
      </c>
      <c r="J195" s="192">
        <f>IF(AND($F195&lt;&gt;0,LEFT('CHUNG TU'!$J186,LEN('CPSXKD 622'!J$10))='CPSXKD 622'!J$10),'CPSXKD 622'!$F195,0)</f>
        <v>0</v>
      </c>
      <c r="K195" s="192">
        <f t="shared" si="3"/>
        <v>0</v>
      </c>
      <c r="L195" s="201">
        <f>IF(F195&lt;&gt;0,'CHUNG TU'!J186,"")</f>
      </c>
      <c r="M195" s="192">
        <f>IF(LEFT('CHUNG TU'!J186,3)='CPSXKD 622'!$H$7,'CHUNG TU'!$L186,0)</f>
        <v>0</v>
      </c>
      <c r="N195" s="192">
        <f>IF(M195&lt;&gt;0,'CHUNG TU'!I186,"")</f>
      </c>
    </row>
    <row r="196" spans="2:14" ht="12.75">
      <c r="B196" s="192">
        <f>IF($F196+$M196&lt;&gt;0,'CHUNG TU'!A187,"")</f>
      </c>
      <c r="C196" s="192">
        <f>IF($F196+$M196&lt;&gt;0,IF('CHUNG TU'!B187&lt;&gt;"",'CHUNG TU'!B187,IF('CHUNG TU'!C187&lt;&gt;"",'CHUNG TU'!C187,'CHUNG TU'!D187)),"")</f>
      </c>
      <c r="D196" s="192">
        <f>IF($F196+$M196&lt;&gt;0,'CHUNG TU'!F187,"")</f>
      </c>
      <c r="E196" s="192">
        <f>IF($F196+$M196&lt;&gt;0,'CHUNG TU'!H187,"")</f>
      </c>
      <c r="F196" s="192">
        <f>IF(LEFT('CHUNG TU'!I187,3)='CPSXKD 622'!$H$7,'CHUNG TU'!$L187,0)</f>
        <v>0</v>
      </c>
      <c r="G196" s="192">
        <f>IF(AND($F196&lt;&gt;0,LEFT('CHUNG TU'!$J187,LEN('CPSXKD 622'!G$10))='CPSXKD 622'!G$10),'CPSXKD 622'!$F196,0)</f>
        <v>0</v>
      </c>
      <c r="H196" s="192">
        <f>IF(AND($F196&lt;&gt;0,LEFT('CHUNG TU'!$J187,LEN('CPSXKD 622'!H$10))='CPSXKD 622'!H$10),'CPSXKD 622'!$F196,0)</f>
        <v>0</v>
      </c>
      <c r="I196" s="192">
        <f>IF(AND($F196&lt;&gt;0,LEFT('CHUNG TU'!$J187,LEN('CPSXKD 622'!I$10))='CPSXKD 622'!I$10),'CPSXKD 622'!$F196,0)</f>
        <v>0</v>
      </c>
      <c r="J196" s="192">
        <f>IF(AND($F196&lt;&gt;0,LEFT('CHUNG TU'!$J187,LEN('CPSXKD 622'!J$10))='CPSXKD 622'!J$10),'CPSXKD 622'!$F196,0)</f>
        <v>0</v>
      </c>
      <c r="K196" s="192">
        <f t="shared" si="3"/>
        <v>0</v>
      </c>
      <c r="L196" s="201">
        <f>IF(F196&lt;&gt;0,'CHUNG TU'!J187,"")</f>
      </c>
      <c r="M196" s="192">
        <f>IF(LEFT('CHUNG TU'!J187,3)='CPSXKD 622'!$H$7,'CHUNG TU'!$L187,0)</f>
        <v>0</v>
      </c>
      <c r="N196" s="192">
        <f>IF(M196&lt;&gt;0,'CHUNG TU'!I187,"")</f>
      </c>
    </row>
    <row r="197" spans="2:14" ht="12.75">
      <c r="B197" s="192">
        <f>IF($F197+$M197&lt;&gt;0,'CHUNG TU'!A188,"")</f>
      </c>
      <c r="C197" s="192">
        <f>IF($F197+$M197&lt;&gt;0,IF('CHUNG TU'!B188&lt;&gt;"",'CHUNG TU'!B188,IF('CHUNG TU'!C188&lt;&gt;"",'CHUNG TU'!C188,'CHUNG TU'!D188)),"")</f>
      </c>
      <c r="D197" s="192">
        <f>IF($F197+$M197&lt;&gt;0,'CHUNG TU'!F188,"")</f>
      </c>
      <c r="E197" s="192">
        <f>IF($F197+$M197&lt;&gt;0,'CHUNG TU'!H188,"")</f>
      </c>
      <c r="F197" s="192">
        <f>IF(LEFT('CHUNG TU'!I188,3)='CPSXKD 622'!$H$7,'CHUNG TU'!$L188,0)</f>
        <v>0</v>
      </c>
      <c r="G197" s="192">
        <f>IF(AND($F197&lt;&gt;0,LEFT('CHUNG TU'!$J188,LEN('CPSXKD 622'!G$10))='CPSXKD 622'!G$10),'CPSXKD 622'!$F197,0)</f>
        <v>0</v>
      </c>
      <c r="H197" s="192">
        <f>IF(AND($F197&lt;&gt;0,LEFT('CHUNG TU'!$J188,LEN('CPSXKD 622'!H$10))='CPSXKD 622'!H$10),'CPSXKD 622'!$F197,0)</f>
        <v>0</v>
      </c>
      <c r="I197" s="192">
        <f>IF(AND($F197&lt;&gt;0,LEFT('CHUNG TU'!$J188,LEN('CPSXKD 622'!I$10))='CPSXKD 622'!I$10),'CPSXKD 622'!$F197,0)</f>
        <v>0</v>
      </c>
      <c r="J197" s="192">
        <f>IF(AND($F197&lt;&gt;0,LEFT('CHUNG TU'!$J188,LEN('CPSXKD 622'!J$10))='CPSXKD 622'!J$10),'CPSXKD 622'!$F197,0)</f>
        <v>0</v>
      </c>
      <c r="K197" s="192">
        <f t="shared" si="3"/>
        <v>0</v>
      </c>
      <c r="L197" s="201">
        <f>IF(F197&lt;&gt;0,'CHUNG TU'!J188,"")</f>
      </c>
      <c r="M197" s="192">
        <f>IF(LEFT('CHUNG TU'!J188,3)='CPSXKD 622'!$H$7,'CHUNG TU'!$L188,0)</f>
        <v>0</v>
      </c>
      <c r="N197" s="192">
        <f>IF(M197&lt;&gt;0,'CHUNG TU'!I188,"")</f>
      </c>
    </row>
    <row r="198" spans="2:14" ht="12.75">
      <c r="B198" s="192">
        <f>IF($F198+$M198&lt;&gt;0,'CHUNG TU'!A189,"")</f>
      </c>
      <c r="C198" s="192">
        <f>IF($F198+$M198&lt;&gt;0,IF('CHUNG TU'!B189&lt;&gt;"",'CHUNG TU'!B189,IF('CHUNG TU'!C189&lt;&gt;"",'CHUNG TU'!C189,'CHUNG TU'!D189)),"")</f>
      </c>
      <c r="D198" s="192">
        <f>IF($F198+$M198&lt;&gt;0,'CHUNG TU'!F189,"")</f>
      </c>
      <c r="E198" s="192">
        <f>IF($F198+$M198&lt;&gt;0,'CHUNG TU'!H189,"")</f>
      </c>
      <c r="F198" s="192">
        <f>IF(LEFT('CHUNG TU'!I189,3)='CPSXKD 622'!$H$7,'CHUNG TU'!$L189,0)</f>
        <v>0</v>
      </c>
      <c r="G198" s="192">
        <f>IF(AND($F198&lt;&gt;0,LEFT('CHUNG TU'!$J189,LEN('CPSXKD 622'!G$10))='CPSXKD 622'!G$10),'CPSXKD 622'!$F198,0)</f>
        <v>0</v>
      </c>
      <c r="H198" s="192">
        <f>IF(AND($F198&lt;&gt;0,LEFT('CHUNG TU'!$J189,LEN('CPSXKD 622'!H$10))='CPSXKD 622'!H$10),'CPSXKD 622'!$F198,0)</f>
        <v>0</v>
      </c>
      <c r="I198" s="192">
        <f>IF(AND($F198&lt;&gt;0,LEFT('CHUNG TU'!$J189,LEN('CPSXKD 622'!I$10))='CPSXKD 622'!I$10),'CPSXKD 622'!$F198,0)</f>
        <v>0</v>
      </c>
      <c r="J198" s="192">
        <f>IF(AND($F198&lt;&gt;0,LEFT('CHUNG TU'!$J189,LEN('CPSXKD 622'!J$10))='CPSXKD 622'!J$10),'CPSXKD 622'!$F198,0)</f>
        <v>0</v>
      </c>
      <c r="K198" s="192">
        <f t="shared" si="3"/>
        <v>0</v>
      </c>
      <c r="L198" s="201">
        <f>IF(F198&lt;&gt;0,'CHUNG TU'!J189,"")</f>
      </c>
      <c r="M198" s="192">
        <f>IF(LEFT('CHUNG TU'!J189,3)='CPSXKD 622'!$H$7,'CHUNG TU'!$L189,0)</f>
        <v>0</v>
      </c>
      <c r="N198" s="192">
        <f>IF(M198&lt;&gt;0,'CHUNG TU'!I189,"")</f>
      </c>
    </row>
    <row r="199" spans="2:14" ht="12.75">
      <c r="B199" s="192">
        <f>IF($F199+$M199&lt;&gt;0,'CHUNG TU'!A190,"")</f>
      </c>
      <c r="C199" s="192">
        <f>IF($F199+$M199&lt;&gt;0,IF('CHUNG TU'!B190&lt;&gt;"",'CHUNG TU'!B190,IF('CHUNG TU'!C190&lt;&gt;"",'CHUNG TU'!C190,'CHUNG TU'!D190)),"")</f>
      </c>
      <c r="D199" s="192">
        <f>IF($F199+$M199&lt;&gt;0,'CHUNG TU'!F190,"")</f>
      </c>
      <c r="E199" s="192">
        <f>IF($F199+$M199&lt;&gt;0,'CHUNG TU'!H190,"")</f>
      </c>
      <c r="F199" s="192">
        <f>IF(LEFT('CHUNG TU'!I190,3)='CPSXKD 622'!$H$7,'CHUNG TU'!$L190,0)</f>
        <v>0</v>
      </c>
      <c r="G199" s="192">
        <f>IF(AND($F199&lt;&gt;0,LEFT('CHUNG TU'!$J190,LEN('CPSXKD 622'!G$10))='CPSXKD 622'!G$10),'CPSXKD 622'!$F199,0)</f>
        <v>0</v>
      </c>
      <c r="H199" s="192">
        <f>IF(AND($F199&lt;&gt;0,LEFT('CHUNG TU'!$J190,LEN('CPSXKD 622'!H$10))='CPSXKD 622'!H$10),'CPSXKD 622'!$F199,0)</f>
        <v>0</v>
      </c>
      <c r="I199" s="192">
        <f>IF(AND($F199&lt;&gt;0,LEFT('CHUNG TU'!$J190,LEN('CPSXKD 622'!I$10))='CPSXKD 622'!I$10),'CPSXKD 622'!$F199,0)</f>
        <v>0</v>
      </c>
      <c r="J199" s="192">
        <f>IF(AND($F199&lt;&gt;0,LEFT('CHUNG TU'!$J190,LEN('CPSXKD 622'!J$10))='CPSXKD 622'!J$10),'CPSXKD 622'!$F199,0)</f>
        <v>0</v>
      </c>
      <c r="K199" s="192">
        <f t="shared" si="3"/>
        <v>0</v>
      </c>
      <c r="L199" s="201">
        <f>IF(F199&lt;&gt;0,'CHUNG TU'!J190,"")</f>
      </c>
      <c r="M199" s="192">
        <f>IF(LEFT('CHUNG TU'!J190,3)='CPSXKD 622'!$H$7,'CHUNG TU'!$L190,0)</f>
        <v>0</v>
      </c>
      <c r="N199" s="192">
        <f>IF(M199&lt;&gt;0,'CHUNG TU'!I190,"")</f>
      </c>
    </row>
    <row r="200" spans="2:14" ht="12.75">
      <c r="B200" s="192">
        <f>IF($F200+$M200&lt;&gt;0,'CHUNG TU'!A191,"")</f>
      </c>
      <c r="C200" s="192">
        <f>IF($F200+$M200&lt;&gt;0,IF('CHUNG TU'!B191&lt;&gt;"",'CHUNG TU'!B191,IF('CHUNG TU'!C191&lt;&gt;"",'CHUNG TU'!C191,'CHUNG TU'!D191)),"")</f>
      </c>
      <c r="D200" s="192">
        <f>IF($F200+$M200&lt;&gt;0,'CHUNG TU'!F191,"")</f>
      </c>
      <c r="E200" s="192">
        <f>IF($F200+$M200&lt;&gt;0,'CHUNG TU'!H191,"")</f>
      </c>
      <c r="F200" s="192">
        <f>IF(LEFT('CHUNG TU'!I191,3)='CPSXKD 622'!$H$7,'CHUNG TU'!$L191,0)</f>
        <v>0</v>
      </c>
      <c r="G200" s="192">
        <f>IF(AND($F200&lt;&gt;0,LEFT('CHUNG TU'!$J191,LEN('CPSXKD 622'!G$10))='CPSXKD 622'!G$10),'CPSXKD 622'!$F200,0)</f>
        <v>0</v>
      </c>
      <c r="H200" s="192">
        <f>IF(AND($F200&lt;&gt;0,LEFT('CHUNG TU'!$J191,LEN('CPSXKD 622'!H$10))='CPSXKD 622'!H$10),'CPSXKD 622'!$F200,0)</f>
        <v>0</v>
      </c>
      <c r="I200" s="192">
        <f>IF(AND($F200&lt;&gt;0,LEFT('CHUNG TU'!$J191,LEN('CPSXKD 622'!I$10))='CPSXKD 622'!I$10),'CPSXKD 622'!$F200,0)</f>
        <v>0</v>
      </c>
      <c r="J200" s="192">
        <f>IF(AND($F200&lt;&gt;0,LEFT('CHUNG TU'!$J191,LEN('CPSXKD 622'!J$10))='CPSXKD 622'!J$10),'CPSXKD 622'!$F200,0)</f>
        <v>0</v>
      </c>
      <c r="K200" s="192">
        <f t="shared" si="3"/>
        <v>0</v>
      </c>
      <c r="L200" s="201">
        <f>IF(F200&lt;&gt;0,'CHUNG TU'!J191,"")</f>
      </c>
      <c r="M200" s="192">
        <f>IF(LEFT('CHUNG TU'!J191,3)='CPSXKD 622'!$H$7,'CHUNG TU'!$L191,0)</f>
        <v>0</v>
      </c>
      <c r="N200" s="192">
        <f>IF(M200&lt;&gt;0,'CHUNG TU'!I191,"")</f>
      </c>
    </row>
    <row r="201" spans="2:14" ht="12.75">
      <c r="B201" s="192">
        <f>IF($F201+$M201&lt;&gt;0,'CHUNG TU'!A192,"")</f>
      </c>
      <c r="C201" s="192">
        <f>IF($F201+$M201&lt;&gt;0,IF('CHUNG TU'!B192&lt;&gt;"",'CHUNG TU'!B192,IF('CHUNG TU'!C192&lt;&gt;"",'CHUNG TU'!C192,'CHUNG TU'!D192)),"")</f>
      </c>
      <c r="D201" s="192">
        <f>IF($F201+$M201&lt;&gt;0,'CHUNG TU'!F192,"")</f>
      </c>
      <c r="E201" s="192">
        <f>IF($F201+$M201&lt;&gt;0,'CHUNG TU'!H192,"")</f>
      </c>
      <c r="F201" s="192">
        <f>IF(LEFT('CHUNG TU'!I192,3)='CPSXKD 622'!$H$7,'CHUNG TU'!$L192,0)</f>
        <v>0</v>
      </c>
      <c r="G201" s="192">
        <f>IF(AND($F201&lt;&gt;0,LEFT('CHUNG TU'!$J192,LEN('CPSXKD 622'!G$10))='CPSXKD 622'!G$10),'CPSXKD 622'!$F201,0)</f>
        <v>0</v>
      </c>
      <c r="H201" s="192">
        <f>IF(AND($F201&lt;&gt;0,LEFT('CHUNG TU'!$J192,LEN('CPSXKD 622'!H$10))='CPSXKD 622'!H$10),'CPSXKD 622'!$F201,0)</f>
        <v>0</v>
      </c>
      <c r="I201" s="192">
        <f>IF(AND($F201&lt;&gt;0,LEFT('CHUNG TU'!$J192,LEN('CPSXKD 622'!I$10))='CPSXKD 622'!I$10),'CPSXKD 622'!$F201,0)</f>
        <v>0</v>
      </c>
      <c r="J201" s="192">
        <f>IF(AND($F201&lt;&gt;0,LEFT('CHUNG TU'!$J192,LEN('CPSXKD 622'!J$10))='CPSXKD 622'!J$10),'CPSXKD 622'!$F201,0)</f>
        <v>0</v>
      </c>
      <c r="K201" s="192">
        <f t="shared" si="3"/>
        <v>0</v>
      </c>
      <c r="L201" s="201">
        <f>IF(F201&lt;&gt;0,'CHUNG TU'!J192,"")</f>
      </c>
      <c r="M201" s="192">
        <f>IF(LEFT('CHUNG TU'!J192,3)='CPSXKD 622'!$H$7,'CHUNG TU'!$L192,0)</f>
        <v>0</v>
      </c>
      <c r="N201" s="192">
        <f>IF(M201&lt;&gt;0,'CHUNG TU'!I192,"")</f>
      </c>
    </row>
    <row r="202" spans="2:14" ht="12.75">
      <c r="B202" s="192">
        <f>IF($F202+$M202&lt;&gt;0,'CHUNG TU'!A193,"")</f>
      </c>
      <c r="C202" s="192">
        <f>IF($F202+$M202&lt;&gt;0,IF('CHUNG TU'!B193&lt;&gt;"",'CHUNG TU'!B193,IF('CHUNG TU'!C193&lt;&gt;"",'CHUNG TU'!C193,'CHUNG TU'!D193)),"")</f>
      </c>
      <c r="D202" s="192">
        <f>IF($F202+$M202&lt;&gt;0,'CHUNG TU'!F193,"")</f>
      </c>
      <c r="E202" s="192">
        <f>IF($F202+$M202&lt;&gt;0,'CHUNG TU'!H193,"")</f>
      </c>
      <c r="F202" s="192">
        <f>IF(LEFT('CHUNG TU'!I193,3)='CPSXKD 622'!$H$7,'CHUNG TU'!$L193,0)</f>
        <v>0</v>
      </c>
      <c r="G202" s="192">
        <f>IF(AND($F202&lt;&gt;0,LEFT('CHUNG TU'!$J193,LEN('CPSXKD 622'!G$10))='CPSXKD 622'!G$10),'CPSXKD 622'!$F202,0)</f>
        <v>0</v>
      </c>
      <c r="H202" s="192">
        <f>IF(AND($F202&lt;&gt;0,LEFT('CHUNG TU'!$J193,LEN('CPSXKD 622'!H$10))='CPSXKD 622'!H$10),'CPSXKD 622'!$F202,0)</f>
        <v>0</v>
      </c>
      <c r="I202" s="192">
        <f>IF(AND($F202&lt;&gt;0,LEFT('CHUNG TU'!$J193,LEN('CPSXKD 622'!I$10))='CPSXKD 622'!I$10),'CPSXKD 622'!$F202,0)</f>
        <v>0</v>
      </c>
      <c r="J202" s="192">
        <f>IF(AND($F202&lt;&gt;0,LEFT('CHUNG TU'!$J193,LEN('CPSXKD 622'!J$10))='CPSXKD 622'!J$10),'CPSXKD 622'!$F202,0)</f>
        <v>0</v>
      </c>
      <c r="K202" s="192">
        <f t="shared" si="3"/>
        <v>0</v>
      </c>
      <c r="L202" s="201">
        <f>IF(F202&lt;&gt;0,'CHUNG TU'!J193,"")</f>
      </c>
      <c r="M202" s="192">
        <f>IF(LEFT('CHUNG TU'!J193,3)='CPSXKD 622'!$H$7,'CHUNG TU'!$L193,0)</f>
        <v>0</v>
      </c>
      <c r="N202" s="192">
        <f>IF(M202&lt;&gt;0,'CHUNG TU'!I193,"")</f>
      </c>
    </row>
    <row r="203" spans="2:14" ht="12.75">
      <c r="B203" s="192">
        <f>IF($F203+$M203&lt;&gt;0,'CHUNG TU'!A194,"")</f>
      </c>
      <c r="C203" s="192">
        <f>IF($F203+$M203&lt;&gt;0,IF('CHUNG TU'!B194&lt;&gt;"",'CHUNG TU'!B194,IF('CHUNG TU'!C194&lt;&gt;"",'CHUNG TU'!C194,'CHUNG TU'!D194)),"")</f>
      </c>
      <c r="D203" s="192">
        <f>IF($F203+$M203&lt;&gt;0,'CHUNG TU'!F194,"")</f>
      </c>
      <c r="E203" s="192">
        <f>IF($F203+$M203&lt;&gt;0,'CHUNG TU'!H194,"")</f>
      </c>
      <c r="F203" s="192">
        <f>IF(LEFT('CHUNG TU'!I194,3)='CPSXKD 622'!$H$7,'CHUNG TU'!$L194,0)</f>
        <v>0</v>
      </c>
      <c r="G203" s="192">
        <f>IF(AND($F203&lt;&gt;0,LEFT('CHUNG TU'!$J194,LEN('CPSXKD 622'!G$10))='CPSXKD 622'!G$10),'CPSXKD 622'!$F203,0)</f>
        <v>0</v>
      </c>
      <c r="H203" s="192">
        <f>IF(AND($F203&lt;&gt;0,LEFT('CHUNG TU'!$J194,LEN('CPSXKD 622'!H$10))='CPSXKD 622'!H$10),'CPSXKD 622'!$F203,0)</f>
        <v>0</v>
      </c>
      <c r="I203" s="192">
        <f>IF(AND($F203&lt;&gt;0,LEFT('CHUNG TU'!$J194,LEN('CPSXKD 622'!I$10))='CPSXKD 622'!I$10),'CPSXKD 622'!$F203,0)</f>
        <v>0</v>
      </c>
      <c r="J203" s="192">
        <f>IF(AND($F203&lt;&gt;0,LEFT('CHUNG TU'!$J194,LEN('CPSXKD 622'!J$10))='CPSXKD 622'!J$10),'CPSXKD 622'!$F203,0)</f>
        <v>0</v>
      </c>
      <c r="K203" s="192">
        <f t="shared" si="3"/>
        <v>0</v>
      </c>
      <c r="L203" s="201">
        <f>IF(F203&lt;&gt;0,'CHUNG TU'!J194,"")</f>
      </c>
      <c r="M203" s="192">
        <f>IF(LEFT('CHUNG TU'!J194,3)='CPSXKD 622'!$H$7,'CHUNG TU'!$L194,0)</f>
        <v>0</v>
      </c>
      <c r="N203" s="192">
        <f>IF(M203&lt;&gt;0,'CHUNG TU'!I194,"")</f>
      </c>
    </row>
    <row r="204" spans="2:14" ht="12.75">
      <c r="B204" s="192">
        <f>IF($F204+$M204&lt;&gt;0,'CHUNG TU'!A195,"")</f>
      </c>
      <c r="C204" s="192">
        <f>IF($F204+$M204&lt;&gt;0,IF('CHUNG TU'!B195&lt;&gt;"",'CHUNG TU'!B195,IF('CHUNG TU'!C195&lt;&gt;"",'CHUNG TU'!C195,'CHUNG TU'!D195)),"")</f>
      </c>
      <c r="D204" s="192">
        <f>IF($F204+$M204&lt;&gt;0,'CHUNG TU'!F195,"")</f>
      </c>
      <c r="E204" s="192">
        <f>IF($F204+$M204&lt;&gt;0,'CHUNG TU'!H195,"")</f>
      </c>
      <c r="F204" s="192">
        <f>IF(LEFT('CHUNG TU'!I195,3)='CPSXKD 622'!$H$7,'CHUNG TU'!$L195,0)</f>
        <v>0</v>
      </c>
      <c r="G204" s="192">
        <f>IF(AND($F204&lt;&gt;0,LEFT('CHUNG TU'!$J195,LEN('CPSXKD 622'!G$10))='CPSXKD 622'!G$10),'CPSXKD 622'!$F204,0)</f>
        <v>0</v>
      </c>
      <c r="H204" s="192">
        <f>IF(AND($F204&lt;&gt;0,LEFT('CHUNG TU'!$J195,LEN('CPSXKD 622'!H$10))='CPSXKD 622'!H$10),'CPSXKD 622'!$F204,0)</f>
        <v>0</v>
      </c>
      <c r="I204" s="192">
        <f>IF(AND($F204&lt;&gt;0,LEFT('CHUNG TU'!$J195,LEN('CPSXKD 622'!I$10))='CPSXKD 622'!I$10),'CPSXKD 622'!$F204,0)</f>
        <v>0</v>
      </c>
      <c r="J204" s="192">
        <f>IF(AND($F204&lt;&gt;0,LEFT('CHUNG TU'!$J195,LEN('CPSXKD 622'!J$10))='CPSXKD 622'!J$10),'CPSXKD 622'!$F204,0)</f>
        <v>0</v>
      </c>
      <c r="K204" s="192">
        <f t="shared" si="3"/>
        <v>0</v>
      </c>
      <c r="L204" s="201">
        <f>IF(F204&lt;&gt;0,'CHUNG TU'!J195,"")</f>
      </c>
      <c r="M204" s="192">
        <f>IF(LEFT('CHUNG TU'!J195,3)='CPSXKD 622'!$H$7,'CHUNG TU'!$L195,0)</f>
        <v>0</v>
      </c>
      <c r="N204" s="192">
        <f>IF(M204&lt;&gt;0,'CHUNG TU'!I195,"")</f>
      </c>
    </row>
    <row r="205" spans="2:14" ht="12.75">
      <c r="B205" s="192">
        <f>IF($F205+$M205&lt;&gt;0,'CHUNG TU'!A196,"")</f>
      </c>
      <c r="C205" s="192">
        <f>IF($F205+$M205&lt;&gt;0,IF('CHUNG TU'!B196&lt;&gt;"",'CHUNG TU'!B196,IF('CHUNG TU'!C196&lt;&gt;"",'CHUNG TU'!C196,'CHUNG TU'!D196)),"")</f>
      </c>
      <c r="D205" s="192">
        <f>IF($F205+$M205&lt;&gt;0,'CHUNG TU'!F196,"")</f>
      </c>
      <c r="E205" s="192">
        <f>IF($F205+$M205&lt;&gt;0,'CHUNG TU'!H196,"")</f>
      </c>
      <c r="F205" s="192">
        <f>IF(LEFT('CHUNG TU'!I196,3)='CPSXKD 622'!$H$7,'CHUNG TU'!$L196,0)</f>
        <v>0</v>
      </c>
      <c r="G205" s="192">
        <f>IF(AND($F205&lt;&gt;0,LEFT('CHUNG TU'!$J196,LEN('CPSXKD 622'!G$10))='CPSXKD 622'!G$10),'CPSXKD 622'!$F205,0)</f>
        <v>0</v>
      </c>
      <c r="H205" s="192">
        <f>IF(AND($F205&lt;&gt;0,LEFT('CHUNG TU'!$J196,LEN('CPSXKD 622'!H$10))='CPSXKD 622'!H$10),'CPSXKD 622'!$F205,0)</f>
        <v>0</v>
      </c>
      <c r="I205" s="192">
        <f>IF(AND($F205&lt;&gt;0,LEFT('CHUNG TU'!$J196,LEN('CPSXKD 622'!I$10))='CPSXKD 622'!I$10),'CPSXKD 622'!$F205,0)</f>
        <v>0</v>
      </c>
      <c r="J205" s="192">
        <f>IF(AND($F205&lt;&gt;0,LEFT('CHUNG TU'!$J196,LEN('CPSXKD 622'!J$10))='CPSXKD 622'!J$10),'CPSXKD 622'!$F205,0)</f>
        <v>0</v>
      </c>
      <c r="K205" s="192">
        <f t="shared" si="3"/>
        <v>0</v>
      </c>
      <c r="L205" s="201">
        <f>IF(F205&lt;&gt;0,'CHUNG TU'!J196,"")</f>
      </c>
      <c r="M205" s="192">
        <f>IF(LEFT('CHUNG TU'!J196,3)='CPSXKD 622'!$H$7,'CHUNG TU'!$L196,0)</f>
        <v>0</v>
      </c>
      <c r="N205" s="192">
        <f>IF(M205&lt;&gt;0,'CHUNG TU'!I196,"")</f>
      </c>
    </row>
    <row r="206" spans="2:14" ht="12.75">
      <c r="B206" s="192">
        <f>IF($F206+$M206&lt;&gt;0,'CHUNG TU'!A197,"")</f>
      </c>
      <c r="C206" s="192">
        <f>IF($F206+$M206&lt;&gt;0,IF('CHUNG TU'!B197&lt;&gt;"",'CHUNG TU'!B197,IF('CHUNG TU'!C197&lt;&gt;"",'CHUNG TU'!C197,'CHUNG TU'!D197)),"")</f>
      </c>
      <c r="D206" s="192">
        <f>IF($F206+$M206&lt;&gt;0,'CHUNG TU'!F197,"")</f>
      </c>
      <c r="E206" s="192">
        <f>IF($F206+$M206&lt;&gt;0,'CHUNG TU'!H197,"")</f>
      </c>
      <c r="F206" s="192">
        <f>IF(LEFT('CHUNG TU'!I197,3)='CPSXKD 622'!$H$7,'CHUNG TU'!$L197,0)</f>
        <v>0</v>
      </c>
      <c r="G206" s="192">
        <f>IF(AND($F206&lt;&gt;0,LEFT('CHUNG TU'!$J197,LEN('CPSXKD 622'!G$10))='CPSXKD 622'!G$10),'CPSXKD 622'!$F206,0)</f>
        <v>0</v>
      </c>
      <c r="H206" s="192">
        <f>IF(AND($F206&lt;&gt;0,LEFT('CHUNG TU'!$J197,LEN('CPSXKD 622'!H$10))='CPSXKD 622'!H$10),'CPSXKD 622'!$F206,0)</f>
        <v>0</v>
      </c>
      <c r="I206" s="192">
        <f>IF(AND($F206&lt;&gt;0,LEFT('CHUNG TU'!$J197,LEN('CPSXKD 622'!I$10))='CPSXKD 622'!I$10),'CPSXKD 622'!$F206,0)</f>
        <v>0</v>
      </c>
      <c r="J206" s="192">
        <f>IF(AND($F206&lt;&gt;0,LEFT('CHUNG TU'!$J197,LEN('CPSXKD 622'!J$10))='CPSXKD 622'!J$10),'CPSXKD 622'!$F206,0)</f>
        <v>0</v>
      </c>
      <c r="K206" s="192">
        <f t="shared" si="3"/>
        <v>0</v>
      </c>
      <c r="L206" s="201">
        <f>IF(F206&lt;&gt;0,'CHUNG TU'!J197,"")</f>
      </c>
      <c r="M206" s="192">
        <f>IF(LEFT('CHUNG TU'!J197,3)='CPSXKD 622'!$H$7,'CHUNG TU'!$L197,0)</f>
        <v>0</v>
      </c>
      <c r="N206" s="192">
        <f>IF(M206&lt;&gt;0,'CHUNG TU'!I197,"")</f>
      </c>
    </row>
    <row r="207" spans="2:14" ht="12.75">
      <c r="B207" s="192">
        <f>IF($F207+$M207&lt;&gt;0,'CHUNG TU'!A198,"")</f>
      </c>
      <c r="C207" s="192">
        <f>IF($F207+$M207&lt;&gt;0,IF('CHUNG TU'!B198&lt;&gt;"",'CHUNG TU'!B198,IF('CHUNG TU'!C198&lt;&gt;"",'CHUNG TU'!C198,'CHUNG TU'!D198)),"")</f>
      </c>
      <c r="D207" s="192">
        <f>IF($F207+$M207&lt;&gt;0,'CHUNG TU'!F198,"")</f>
      </c>
      <c r="E207" s="192">
        <f>IF($F207+$M207&lt;&gt;0,'CHUNG TU'!H198,"")</f>
      </c>
      <c r="F207" s="192">
        <f>IF(LEFT('CHUNG TU'!I198,3)='CPSXKD 622'!$H$7,'CHUNG TU'!$L198,0)</f>
        <v>0</v>
      </c>
      <c r="G207" s="192">
        <f>IF(AND($F207&lt;&gt;0,LEFT('CHUNG TU'!$J198,LEN('CPSXKD 622'!G$10))='CPSXKD 622'!G$10),'CPSXKD 622'!$F207,0)</f>
        <v>0</v>
      </c>
      <c r="H207" s="192">
        <f>IF(AND($F207&lt;&gt;0,LEFT('CHUNG TU'!$J198,LEN('CPSXKD 622'!H$10))='CPSXKD 622'!H$10),'CPSXKD 622'!$F207,0)</f>
        <v>0</v>
      </c>
      <c r="I207" s="192">
        <f>IF(AND($F207&lt;&gt;0,LEFT('CHUNG TU'!$J198,LEN('CPSXKD 622'!I$10))='CPSXKD 622'!I$10),'CPSXKD 622'!$F207,0)</f>
        <v>0</v>
      </c>
      <c r="J207" s="192">
        <f>IF(AND($F207&lt;&gt;0,LEFT('CHUNG TU'!$J198,LEN('CPSXKD 622'!J$10))='CPSXKD 622'!J$10),'CPSXKD 622'!$F207,0)</f>
        <v>0</v>
      </c>
      <c r="K207" s="192">
        <f aca="true" t="shared" si="4" ref="K207:K270">F207-SUM(G207:J207)</f>
        <v>0</v>
      </c>
      <c r="L207" s="201">
        <f>IF(F207&lt;&gt;0,'CHUNG TU'!J198,"")</f>
      </c>
      <c r="M207" s="192">
        <f>IF(LEFT('CHUNG TU'!J198,3)='CPSXKD 622'!$H$7,'CHUNG TU'!$L198,0)</f>
        <v>0</v>
      </c>
      <c r="N207" s="192">
        <f>IF(M207&lt;&gt;0,'CHUNG TU'!I198,"")</f>
      </c>
    </row>
    <row r="208" spans="2:14" ht="12.75">
      <c r="B208" s="192">
        <f>IF($F208+$M208&lt;&gt;0,'CHUNG TU'!A199,"")</f>
      </c>
      <c r="C208" s="192">
        <f>IF($F208+$M208&lt;&gt;0,IF('CHUNG TU'!B199&lt;&gt;"",'CHUNG TU'!B199,IF('CHUNG TU'!C199&lt;&gt;"",'CHUNG TU'!C199,'CHUNG TU'!D199)),"")</f>
      </c>
      <c r="D208" s="192">
        <f>IF($F208+$M208&lt;&gt;0,'CHUNG TU'!F199,"")</f>
      </c>
      <c r="E208" s="192">
        <f>IF($F208+$M208&lt;&gt;0,'CHUNG TU'!H199,"")</f>
      </c>
      <c r="F208" s="192">
        <f>IF(LEFT('CHUNG TU'!I199,3)='CPSXKD 622'!$H$7,'CHUNG TU'!$L199,0)</f>
        <v>0</v>
      </c>
      <c r="G208" s="192">
        <f>IF(AND($F208&lt;&gt;0,LEFT('CHUNG TU'!$J199,LEN('CPSXKD 622'!G$10))='CPSXKD 622'!G$10),'CPSXKD 622'!$F208,0)</f>
        <v>0</v>
      </c>
      <c r="H208" s="192">
        <f>IF(AND($F208&lt;&gt;0,LEFT('CHUNG TU'!$J199,LEN('CPSXKD 622'!H$10))='CPSXKD 622'!H$10),'CPSXKD 622'!$F208,0)</f>
        <v>0</v>
      </c>
      <c r="I208" s="192">
        <f>IF(AND($F208&lt;&gt;0,LEFT('CHUNG TU'!$J199,LEN('CPSXKD 622'!I$10))='CPSXKD 622'!I$10),'CPSXKD 622'!$F208,0)</f>
        <v>0</v>
      </c>
      <c r="J208" s="192">
        <f>IF(AND($F208&lt;&gt;0,LEFT('CHUNG TU'!$J199,LEN('CPSXKD 622'!J$10))='CPSXKD 622'!J$10),'CPSXKD 622'!$F208,0)</f>
        <v>0</v>
      </c>
      <c r="K208" s="192">
        <f t="shared" si="4"/>
        <v>0</v>
      </c>
      <c r="L208" s="201">
        <f>IF(F208&lt;&gt;0,'CHUNG TU'!J199,"")</f>
      </c>
      <c r="M208" s="192">
        <f>IF(LEFT('CHUNG TU'!J199,3)='CPSXKD 622'!$H$7,'CHUNG TU'!$L199,0)</f>
        <v>0</v>
      </c>
      <c r="N208" s="192">
        <f>IF(M208&lt;&gt;0,'CHUNG TU'!I199,"")</f>
      </c>
    </row>
    <row r="209" spans="2:14" ht="12.75">
      <c r="B209" s="192">
        <f>IF($F209+$M209&lt;&gt;0,'CHUNG TU'!A200,"")</f>
      </c>
      <c r="C209" s="192">
        <f>IF($F209+$M209&lt;&gt;0,IF('CHUNG TU'!B200&lt;&gt;"",'CHUNG TU'!B200,IF('CHUNG TU'!C200&lt;&gt;"",'CHUNG TU'!C200,'CHUNG TU'!D200)),"")</f>
      </c>
      <c r="D209" s="192">
        <f>IF($F209+$M209&lt;&gt;0,'CHUNG TU'!F200,"")</f>
      </c>
      <c r="E209" s="192">
        <f>IF($F209+$M209&lt;&gt;0,'CHUNG TU'!H200,"")</f>
      </c>
      <c r="F209" s="192">
        <f>IF(LEFT('CHUNG TU'!I200,3)='CPSXKD 622'!$H$7,'CHUNG TU'!$L200,0)</f>
        <v>0</v>
      </c>
      <c r="G209" s="192">
        <f>IF(AND($F209&lt;&gt;0,LEFT('CHUNG TU'!$J200,LEN('CPSXKD 622'!G$10))='CPSXKD 622'!G$10),'CPSXKD 622'!$F209,0)</f>
        <v>0</v>
      </c>
      <c r="H209" s="192">
        <f>IF(AND($F209&lt;&gt;0,LEFT('CHUNG TU'!$J200,LEN('CPSXKD 622'!H$10))='CPSXKD 622'!H$10),'CPSXKD 622'!$F209,0)</f>
        <v>0</v>
      </c>
      <c r="I209" s="192">
        <f>IF(AND($F209&lt;&gt;0,LEFT('CHUNG TU'!$J200,LEN('CPSXKD 622'!I$10))='CPSXKD 622'!I$10),'CPSXKD 622'!$F209,0)</f>
        <v>0</v>
      </c>
      <c r="J209" s="192">
        <f>IF(AND($F209&lt;&gt;0,LEFT('CHUNG TU'!$J200,LEN('CPSXKD 622'!J$10))='CPSXKD 622'!J$10),'CPSXKD 622'!$F209,0)</f>
        <v>0</v>
      </c>
      <c r="K209" s="192">
        <f t="shared" si="4"/>
        <v>0</v>
      </c>
      <c r="L209" s="201">
        <f>IF(F209&lt;&gt;0,'CHUNG TU'!J200,"")</f>
      </c>
      <c r="M209" s="192">
        <f>IF(LEFT('CHUNG TU'!J200,3)='CPSXKD 622'!$H$7,'CHUNG TU'!$L200,0)</f>
        <v>0</v>
      </c>
      <c r="N209" s="192">
        <f>IF(M209&lt;&gt;0,'CHUNG TU'!I200,"")</f>
      </c>
    </row>
    <row r="210" spans="2:14" ht="12.75">
      <c r="B210" s="192">
        <f>IF($F210+$M210&lt;&gt;0,'CHUNG TU'!A201,"")</f>
      </c>
      <c r="C210" s="192">
        <f>IF($F210+$M210&lt;&gt;0,IF('CHUNG TU'!B201&lt;&gt;"",'CHUNG TU'!B201,IF('CHUNG TU'!C201&lt;&gt;"",'CHUNG TU'!C201,'CHUNG TU'!D201)),"")</f>
      </c>
      <c r="D210" s="192">
        <f>IF($F210+$M210&lt;&gt;0,'CHUNG TU'!F201,"")</f>
      </c>
      <c r="E210" s="192">
        <f>IF($F210+$M210&lt;&gt;0,'CHUNG TU'!H201,"")</f>
      </c>
      <c r="F210" s="192">
        <f>IF(LEFT('CHUNG TU'!I201,3)='CPSXKD 622'!$H$7,'CHUNG TU'!$L201,0)</f>
        <v>0</v>
      </c>
      <c r="G210" s="192">
        <f>IF(AND($F210&lt;&gt;0,LEFT('CHUNG TU'!$J201,LEN('CPSXKD 622'!G$10))='CPSXKD 622'!G$10),'CPSXKD 622'!$F210,0)</f>
        <v>0</v>
      </c>
      <c r="H210" s="192">
        <f>IF(AND($F210&lt;&gt;0,LEFT('CHUNG TU'!$J201,LEN('CPSXKD 622'!H$10))='CPSXKD 622'!H$10),'CPSXKD 622'!$F210,0)</f>
        <v>0</v>
      </c>
      <c r="I210" s="192">
        <f>IF(AND($F210&lt;&gt;0,LEFT('CHUNG TU'!$J201,LEN('CPSXKD 622'!I$10))='CPSXKD 622'!I$10),'CPSXKD 622'!$F210,0)</f>
        <v>0</v>
      </c>
      <c r="J210" s="192">
        <f>IF(AND($F210&lt;&gt;0,LEFT('CHUNG TU'!$J201,LEN('CPSXKD 622'!J$10))='CPSXKD 622'!J$10),'CPSXKD 622'!$F210,0)</f>
        <v>0</v>
      </c>
      <c r="K210" s="192">
        <f t="shared" si="4"/>
        <v>0</v>
      </c>
      <c r="L210" s="201">
        <f>IF(F210&lt;&gt;0,'CHUNG TU'!J201,"")</f>
      </c>
      <c r="M210" s="192">
        <f>IF(LEFT('CHUNG TU'!J201,3)='CPSXKD 622'!$H$7,'CHUNG TU'!$L201,0)</f>
        <v>0</v>
      </c>
      <c r="N210" s="192">
        <f>IF(M210&lt;&gt;0,'CHUNG TU'!I201,"")</f>
      </c>
    </row>
    <row r="211" spans="2:14" ht="12.75">
      <c r="B211" s="192">
        <f>IF($F211+$M211&lt;&gt;0,'CHUNG TU'!A202,"")</f>
      </c>
      <c r="C211" s="192">
        <f>IF($F211+$M211&lt;&gt;0,IF('CHUNG TU'!B202&lt;&gt;"",'CHUNG TU'!B202,IF('CHUNG TU'!C202&lt;&gt;"",'CHUNG TU'!C202,'CHUNG TU'!D202)),"")</f>
      </c>
      <c r="D211" s="192">
        <f>IF($F211+$M211&lt;&gt;0,'CHUNG TU'!F202,"")</f>
      </c>
      <c r="E211" s="192">
        <f>IF($F211+$M211&lt;&gt;0,'CHUNG TU'!H202,"")</f>
      </c>
      <c r="F211" s="192">
        <f>IF(LEFT('CHUNG TU'!I202,3)='CPSXKD 622'!$H$7,'CHUNG TU'!$L202,0)</f>
        <v>0</v>
      </c>
      <c r="G211" s="192">
        <f>IF(AND($F211&lt;&gt;0,LEFT('CHUNG TU'!$J202,LEN('CPSXKD 622'!G$10))='CPSXKD 622'!G$10),'CPSXKD 622'!$F211,0)</f>
        <v>0</v>
      </c>
      <c r="H211" s="192">
        <f>IF(AND($F211&lt;&gt;0,LEFT('CHUNG TU'!$J202,LEN('CPSXKD 622'!H$10))='CPSXKD 622'!H$10),'CPSXKD 622'!$F211,0)</f>
        <v>0</v>
      </c>
      <c r="I211" s="192">
        <f>IF(AND($F211&lt;&gt;0,LEFT('CHUNG TU'!$J202,LEN('CPSXKD 622'!I$10))='CPSXKD 622'!I$10),'CPSXKD 622'!$F211,0)</f>
        <v>0</v>
      </c>
      <c r="J211" s="192">
        <f>IF(AND($F211&lt;&gt;0,LEFT('CHUNG TU'!$J202,LEN('CPSXKD 622'!J$10))='CPSXKD 622'!J$10),'CPSXKD 622'!$F211,0)</f>
        <v>0</v>
      </c>
      <c r="K211" s="192">
        <f t="shared" si="4"/>
        <v>0</v>
      </c>
      <c r="L211" s="201">
        <f>IF(F211&lt;&gt;0,'CHUNG TU'!J202,"")</f>
      </c>
      <c r="M211" s="192">
        <f>IF(LEFT('CHUNG TU'!J202,3)='CPSXKD 622'!$H$7,'CHUNG TU'!$L202,0)</f>
        <v>0</v>
      </c>
      <c r="N211" s="192">
        <f>IF(M211&lt;&gt;0,'CHUNG TU'!I202,"")</f>
      </c>
    </row>
    <row r="212" spans="2:14" ht="12.75">
      <c r="B212" s="192">
        <f>IF($F212+$M212&lt;&gt;0,'CHUNG TU'!A203,"")</f>
      </c>
      <c r="C212" s="192">
        <f>IF($F212+$M212&lt;&gt;0,IF('CHUNG TU'!B203&lt;&gt;"",'CHUNG TU'!B203,IF('CHUNG TU'!C203&lt;&gt;"",'CHUNG TU'!C203,'CHUNG TU'!D203)),"")</f>
      </c>
      <c r="D212" s="192">
        <f>IF($F212+$M212&lt;&gt;0,'CHUNG TU'!F203,"")</f>
      </c>
      <c r="E212" s="192">
        <f>IF($F212+$M212&lt;&gt;0,'CHUNG TU'!H203,"")</f>
      </c>
      <c r="F212" s="192">
        <f>IF(LEFT('CHUNG TU'!I203,3)='CPSXKD 622'!$H$7,'CHUNG TU'!$L203,0)</f>
        <v>0</v>
      </c>
      <c r="G212" s="192">
        <f>IF(AND($F212&lt;&gt;0,LEFT('CHUNG TU'!$J203,LEN('CPSXKD 622'!G$10))='CPSXKD 622'!G$10),'CPSXKD 622'!$F212,0)</f>
        <v>0</v>
      </c>
      <c r="H212" s="192">
        <f>IF(AND($F212&lt;&gt;0,LEFT('CHUNG TU'!$J203,LEN('CPSXKD 622'!H$10))='CPSXKD 622'!H$10),'CPSXKD 622'!$F212,0)</f>
        <v>0</v>
      </c>
      <c r="I212" s="192">
        <f>IF(AND($F212&lt;&gt;0,LEFT('CHUNG TU'!$J203,LEN('CPSXKD 622'!I$10))='CPSXKD 622'!I$10),'CPSXKD 622'!$F212,0)</f>
        <v>0</v>
      </c>
      <c r="J212" s="192">
        <f>IF(AND($F212&lt;&gt;0,LEFT('CHUNG TU'!$J203,LEN('CPSXKD 622'!J$10))='CPSXKD 622'!J$10),'CPSXKD 622'!$F212,0)</f>
        <v>0</v>
      </c>
      <c r="K212" s="192">
        <f t="shared" si="4"/>
        <v>0</v>
      </c>
      <c r="L212" s="201">
        <f>IF(F212&lt;&gt;0,'CHUNG TU'!J203,"")</f>
      </c>
      <c r="M212" s="192">
        <f>IF(LEFT('CHUNG TU'!J203,3)='CPSXKD 622'!$H$7,'CHUNG TU'!$L203,0)</f>
        <v>0</v>
      </c>
      <c r="N212" s="192">
        <f>IF(M212&lt;&gt;0,'CHUNG TU'!I203,"")</f>
      </c>
    </row>
    <row r="213" spans="2:14" ht="12.75">
      <c r="B213" s="192">
        <f>IF($F213+$M213&lt;&gt;0,'CHUNG TU'!A204,"")</f>
      </c>
      <c r="C213" s="192">
        <f>IF($F213+$M213&lt;&gt;0,IF('CHUNG TU'!B204&lt;&gt;"",'CHUNG TU'!B204,IF('CHUNG TU'!C204&lt;&gt;"",'CHUNG TU'!C204,'CHUNG TU'!D204)),"")</f>
      </c>
      <c r="D213" s="192">
        <f>IF($F213+$M213&lt;&gt;0,'CHUNG TU'!F204,"")</f>
      </c>
      <c r="E213" s="192">
        <f>IF($F213+$M213&lt;&gt;0,'CHUNG TU'!H204,"")</f>
      </c>
      <c r="F213" s="192">
        <f>IF(LEFT('CHUNG TU'!I204,3)='CPSXKD 622'!$H$7,'CHUNG TU'!$L204,0)</f>
        <v>0</v>
      </c>
      <c r="G213" s="192">
        <f>IF(AND($F213&lt;&gt;0,LEFT('CHUNG TU'!$J204,LEN('CPSXKD 622'!G$10))='CPSXKD 622'!G$10),'CPSXKD 622'!$F213,0)</f>
        <v>0</v>
      </c>
      <c r="H213" s="192">
        <f>IF(AND($F213&lt;&gt;0,LEFT('CHUNG TU'!$J204,LEN('CPSXKD 622'!H$10))='CPSXKD 622'!H$10),'CPSXKD 622'!$F213,0)</f>
        <v>0</v>
      </c>
      <c r="I213" s="192">
        <f>IF(AND($F213&lt;&gt;0,LEFT('CHUNG TU'!$J204,LEN('CPSXKD 622'!I$10))='CPSXKD 622'!I$10),'CPSXKD 622'!$F213,0)</f>
        <v>0</v>
      </c>
      <c r="J213" s="192">
        <f>IF(AND($F213&lt;&gt;0,LEFT('CHUNG TU'!$J204,LEN('CPSXKD 622'!J$10))='CPSXKD 622'!J$10),'CPSXKD 622'!$F213,0)</f>
        <v>0</v>
      </c>
      <c r="K213" s="192">
        <f t="shared" si="4"/>
        <v>0</v>
      </c>
      <c r="L213" s="201">
        <f>IF(F213&lt;&gt;0,'CHUNG TU'!J204,"")</f>
      </c>
      <c r="M213" s="192">
        <f>IF(LEFT('CHUNG TU'!J204,3)='CPSXKD 622'!$H$7,'CHUNG TU'!$L204,0)</f>
        <v>0</v>
      </c>
      <c r="N213" s="192">
        <f>IF(M213&lt;&gt;0,'CHUNG TU'!I204,"")</f>
      </c>
    </row>
    <row r="214" spans="2:14" ht="12.75">
      <c r="B214" s="192">
        <f>IF($F214+$M214&lt;&gt;0,'CHUNG TU'!A205,"")</f>
      </c>
      <c r="C214" s="192">
        <f>IF($F214+$M214&lt;&gt;0,IF('CHUNG TU'!B205&lt;&gt;"",'CHUNG TU'!B205,IF('CHUNG TU'!C205&lt;&gt;"",'CHUNG TU'!C205,'CHUNG TU'!D205)),"")</f>
      </c>
      <c r="D214" s="192">
        <f>IF($F214+$M214&lt;&gt;0,'CHUNG TU'!F205,"")</f>
      </c>
      <c r="E214" s="192">
        <f>IF($F214+$M214&lt;&gt;0,'CHUNG TU'!H205,"")</f>
      </c>
      <c r="F214" s="192">
        <f>IF(LEFT('CHUNG TU'!I205,3)='CPSXKD 622'!$H$7,'CHUNG TU'!$L205,0)</f>
        <v>0</v>
      </c>
      <c r="G214" s="192">
        <f>IF(AND($F214&lt;&gt;0,LEFT('CHUNG TU'!$J205,LEN('CPSXKD 622'!G$10))='CPSXKD 622'!G$10),'CPSXKD 622'!$F214,0)</f>
        <v>0</v>
      </c>
      <c r="H214" s="192">
        <f>IF(AND($F214&lt;&gt;0,LEFT('CHUNG TU'!$J205,LEN('CPSXKD 622'!H$10))='CPSXKD 622'!H$10),'CPSXKD 622'!$F214,0)</f>
        <v>0</v>
      </c>
      <c r="I214" s="192">
        <f>IF(AND($F214&lt;&gt;0,LEFT('CHUNG TU'!$J205,LEN('CPSXKD 622'!I$10))='CPSXKD 622'!I$10),'CPSXKD 622'!$F214,0)</f>
        <v>0</v>
      </c>
      <c r="J214" s="192">
        <f>IF(AND($F214&lt;&gt;0,LEFT('CHUNG TU'!$J205,LEN('CPSXKD 622'!J$10))='CPSXKD 622'!J$10),'CPSXKD 622'!$F214,0)</f>
        <v>0</v>
      </c>
      <c r="K214" s="192">
        <f t="shared" si="4"/>
        <v>0</v>
      </c>
      <c r="L214" s="201">
        <f>IF(F214&lt;&gt;0,'CHUNG TU'!J205,"")</f>
      </c>
      <c r="M214" s="192">
        <f>IF(LEFT('CHUNG TU'!J205,3)='CPSXKD 622'!$H$7,'CHUNG TU'!$L205,0)</f>
        <v>0</v>
      </c>
      <c r="N214" s="192">
        <f>IF(M214&lt;&gt;0,'CHUNG TU'!I205,"")</f>
      </c>
    </row>
    <row r="215" spans="2:14" ht="12.75">
      <c r="B215" s="192">
        <f>IF($F215+$M215&lt;&gt;0,'CHUNG TU'!A206,"")</f>
      </c>
      <c r="C215" s="192">
        <f>IF($F215+$M215&lt;&gt;0,IF('CHUNG TU'!B206&lt;&gt;"",'CHUNG TU'!B206,IF('CHUNG TU'!C206&lt;&gt;"",'CHUNG TU'!C206,'CHUNG TU'!D206)),"")</f>
      </c>
      <c r="D215" s="192">
        <f>IF($F215+$M215&lt;&gt;0,'CHUNG TU'!F206,"")</f>
      </c>
      <c r="E215" s="192">
        <f>IF($F215+$M215&lt;&gt;0,'CHUNG TU'!H206,"")</f>
      </c>
      <c r="F215" s="192">
        <f>IF(LEFT('CHUNG TU'!I206,3)='CPSXKD 622'!$H$7,'CHUNG TU'!$L206,0)</f>
        <v>0</v>
      </c>
      <c r="G215" s="192">
        <f>IF(AND($F215&lt;&gt;0,LEFT('CHUNG TU'!$J206,LEN('CPSXKD 622'!G$10))='CPSXKD 622'!G$10),'CPSXKD 622'!$F215,0)</f>
        <v>0</v>
      </c>
      <c r="H215" s="192">
        <f>IF(AND($F215&lt;&gt;0,LEFT('CHUNG TU'!$J206,LEN('CPSXKD 622'!H$10))='CPSXKD 622'!H$10),'CPSXKD 622'!$F215,0)</f>
        <v>0</v>
      </c>
      <c r="I215" s="192">
        <f>IF(AND($F215&lt;&gt;0,LEFT('CHUNG TU'!$J206,LEN('CPSXKD 622'!I$10))='CPSXKD 622'!I$10),'CPSXKD 622'!$F215,0)</f>
        <v>0</v>
      </c>
      <c r="J215" s="192">
        <f>IF(AND($F215&lt;&gt;0,LEFT('CHUNG TU'!$J206,LEN('CPSXKD 622'!J$10))='CPSXKD 622'!J$10),'CPSXKD 622'!$F215,0)</f>
        <v>0</v>
      </c>
      <c r="K215" s="192">
        <f t="shared" si="4"/>
        <v>0</v>
      </c>
      <c r="L215" s="201">
        <f>IF(F215&lt;&gt;0,'CHUNG TU'!J206,"")</f>
      </c>
      <c r="M215" s="192">
        <f>IF(LEFT('CHUNG TU'!J206,3)='CPSXKD 622'!$H$7,'CHUNG TU'!$L206,0)</f>
        <v>0</v>
      </c>
      <c r="N215" s="192">
        <f>IF(M215&lt;&gt;0,'CHUNG TU'!I206,"")</f>
      </c>
    </row>
    <row r="216" spans="2:14" ht="12.75">
      <c r="B216" s="192">
        <f>IF($F216+$M216&lt;&gt;0,'CHUNG TU'!A207,"")</f>
      </c>
      <c r="C216" s="192">
        <f>IF($F216+$M216&lt;&gt;0,IF('CHUNG TU'!B207&lt;&gt;"",'CHUNG TU'!B207,IF('CHUNG TU'!C207&lt;&gt;"",'CHUNG TU'!C207,'CHUNG TU'!D207)),"")</f>
      </c>
      <c r="D216" s="192">
        <f>IF($F216+$M216&lt;&gt;0,'CHUNG TU'!F207,"")</f>
      </c>
      <c r="E216" s="192">
        <f>IF($F216+$M216&lt;&gt;0,'CHUNG TU'!H207,"")</f>
      </c>
      <c r="F216" s="192">
        <f>IF(LEFT('CHUNG TU'!I207,3)='CPSXKD 622'!$H$7,'CHUNG TU'!$L207,0)</f>
        <v>0</v>
      </c>
      <c r="G216" s="192">
        <f>IF(AND($F216&lt;&gt;0,LEFT('CHUNG TU'!$J207,LEN('CPSXKD 622'!G$10))='CPSXKD 622'!G$10),'CPSXKD 622'!$F216,0)</f>
        <v>0</v>
      </c>
      <c r="H216" s="192">
        <f>IF(AND($F216&lt;&gt;0,LEFT('CHUNG TU'!$J207,LEN('CPSXKD 622'!H$10))='CPSXKD 622'!H$10),'CPSXKD 622'!$F216,0)</f>
        <v>0</v>
      </c>
      <c r="I216" s="192">
        <f>IF(AND($F216&lt;&gt;0,LEFT('CHUNG TU'!$J207,LEN('CPSXKD 622'!I$10))='CPSXKD 622'!I$10),'CPSXKD 622'!$F216,0)</f>
        <v>0</v>
      </c>
      <c r="J216" s="192">
        <f>IF(AND($F216&lt;&gt;0,LEFT('CHUNG TU'!$J207,LEN('CPSXKD 622'!J$10))='CPSXKD 622'!J$10),'CPSXKD 622'!$F216,0)</f>
        <v>0</v>
      </c>
      <c r="K216" s="192">
        <f t="shared" si="4"/>
        <v>0</v>
      </c>
      <c r="L216" s="201">
        <f>IF(F216&lt;&gt;0,'CHUNG TU'!J207,"")</f>
      </c>
      <c r="M216" s="192">
        <f>IF(LEFT('CHUNG TU'!J207,3)='CPSXKD 622'!$H$7,'CHUNG TU'!$L207,0)</f>
        <v>0</v>
      </c>
      <c r="N216" s="192">
        <f>IF(M216&lt;&gt;0,'CHUNG TU'!I207,"")</f>
      </c>
    </row>
    <row r="217" spans="2:14" ht="12.75">
      <c r="B217" s="192">
        <f>IF($F217+$M217&lt;&gt;0,'CHUNG TU'!A208,"")</f>
      </c>
      <c r="C217" s="192">
        <f>IF($F217+$M217&lt;&gt;0,IF('CHUNG TU'!B208&lt;&gt;"",'CHUNG TU'!B208,IF('CHUNG TU'!C208&lt;&gt;"",'CHUNG TU'!C208,'CHUNG TU'!D208)),"")</f>
      </c>
      <c r="D217" s="192">
        <f>IF($F217+$M217&lt;&gt;0,'CHUNG TU'!F208,"")</f>
      </c>
      <c r="E217" s="192">
        <f>IF($F217+$M217&lt;&gt;0,'CHUNG TU'!H208,"")</f>
      </c>
      <c r="F217" s="192">
        <f>IF(LEFT('CHUNG TU'!I208,3)='CPSXKD 622'!$H$7,'CHUNG TU'!$L208,0)</f>
        <v>0</v>
      </c>
      <c r="G217" s="192">
        <f>IF(AND($F217&lt;&gt;0,LEFT('CHUNG TU'!$J208,LEN('CPSXKD 622'!G$10))='CPSXKD 622'!G$10),'CPSXKD 622'!$F217,0)</f>
        <v>0</v>
      </c>
      <c r="H217" s="192">
        <f>IF(AND($F217&lt;&gt;0,LEFT('CHUNG TU'!$J208,LEN('CPSXKD 622'!H$10))='CPSXKD 622'!H$10),'CPSXKD 622'!$F217,0)</f>
        <v>0</v>
      </c>
      <c r="I217" s="192">
        <f>IF(AND($F217&lt;&gt;0,LEFT('CHUNG TU'!$J208,LEN('CPSXKD 622'!I$10))='CPSXKD 622'!I$10),'CPSXKD 622'!$F217,0)</f>
        <v>0</v>
      </c>
      <c r="J217" s="192">
        <f>IF(AND($F217&lt;&gt;0,LEFT('CHUNG TU'!$J208,LEN('CPSXKD 622'!J$10))='CPSXKD 622'!J$10),'CPSXKD 622'!$F217,0)</f>
        <v>0</v>
      </c>
      <c r="K217" s="192">
        <f t="shared" si="4"/>
        <v>0</v>
      </c>
      <c r="L217" s="201">
        <f>IF(F217&lt;&gt;0,'CHUNG TU'!J208,"")</f>
      </c>
      <c r="M217" s="192">
        <f>IF(LEFT('CHUNG TU'!J208,3)='CPSXKD 622'!$H$7,'CHUNG TU'!$L208,0)</f>
        <v>0</v>
      </c>
      <c r="N217" s="192">
        <f>IF(M217&lt;&gt;0,'CHUNG TU'!I208,"")</f>
      </c>
    </row>
    <row r="218" spans="2:14" ht="12.75">
      <c r="B218" s="192">
        <f>IF($F218+$M218&lt;&gt;0,'CHUNG TU'!A209,"")</f>
      </c>
      <c r="C218" s="192">
        <f>IF($F218+$M218&lt;&gt;0,IF('CHUNG TU'!B209&lt;&gt;"",'CHUNG TU'!B209,IF('CHUNG TU'!C209&lt;&gt;"",'CHUNG TU'!C209,'CHUNG TU'!D209)),"")</f>
      </c>
      <c r="D218" s="192">
        <f>IF($F218+$M218&lt;&gt;0,'CHUNG TU'!F209,"")</f>
      </c>
      <c r="E218" s="192">
        <f>IF($F218+$M218&lt;&gt;0,'CHUNG TU'!H209,"")</f>
      </c>
      <c r="F218" s="192">
        <f>IF(LEFT('CHUNG TU'!I209,3)='CPSXKD 622'!$H$7,'CHUNG TU'!$L209,0)</f>
        <v>0</v>
      </c>
      <c r="G218" s="192">
        <f>IF(AND($F218&lt;&gt;0,LEFT('CHUNG TU'!$J209,LEN('CPSXKD 622'!G$10))='CPSXKD 622'!G$10),'CPSXKD 622'!$F218,0)</f>
        <v>0</v>
      </c>
      <c r="H218" s="192">
        <f>IF(AND($F218&lt;&gt;0,LEFT('CHUNG TU'!$J209,LEN('CPSXKD 622'!H$10))='CPSXKD 622'!H$10),'CPSXKD 622'!$F218,0)</f>
        <v>0</v>
      </c>
      <c r="I218" s="192">
        <f>IF(AND($F218&lt;&gt;0,LEFT('CHUNG TU'!$J209,LEN('CPSXKD 622'!I$10))='CPSXKD 622'!I$10),'CPSXKD 622'!$F218,0)</f>
        <v>0</v>
      </c>
      <c r="J218" s="192">
        <f>IF(AND($F218&lt;&gt;0,LEFT('CHUNG TU'!$J209,LEN('CPSXKD 622'!J$10))='CPSXKD 622'!J$10),'CPSXKD 622'!$F218,0)</f>
        <v>0</v>
      </c>
      <c r="K218" s="192">
        <f t="shared" si="4"/>
        <v>0</v>
      </c>
      <c r="L218" s="201">
        <f>IF(F218&lt;&gt;0,'CHUNG TU'!J209,"")</f>
      </c>
      <c r="M218" s="192">
        <f>IF(LEFT('CHUNG TU'!J209,3)='CPSXKD 622'!$H$7,'CHUNG TU'!$L209,0)</f>
        <v>0</v>
      </c>
      <c r="N218" s="192">
        <f>IF(M218&lt;&gt;0,'CHUNG TU'!I209,"")</f>
      </c>
    </row>
    <row r="219" spans="2:14" ht="12.75">
      <c r="B219" s="192">
        <f>IF($F219+$M219&lt;&gt;0,'CHUNG TU'!A210,"")</f>
      </c>
      <c r="C219" s="192">
        <f>IF($F219+$M219&lt;&gt;0,IF('CHUNG TU'!B210&lt;&gt;"",'CHUNG TU'!B210,IF('CHUNG TU'!C210&lt;&gt;"",'CHUNG TU'!C210,'CHUNG TU'!D210)),"")</f>
      </c>
      <c r="D219" s="192">
        <f>IF($F219+$M219&lt;&gt;0,'CHUNG TU'!F210,"")</f>
      </c>
      <c r="E219" s="192">
        <f>IF($F219+$M219&lt;&gt;0,'CHUNG TU'!H210,"")</f>
      </c>
      <c r="F219" s="192">
        <f>IF(LEFT('CHUNG TU'!I210,3)='CPSXKD 622'!$H$7,'CHUNG TU'!$L210,0)</f>
        <v>0</v>
      </c>
      <c r="G219" s="192">
        <f>IF(AND($F219&lt;&gt;0,LEFT('CHUNG TU'!$J210,LEN('CPSXKD 622'!G$10))='CPSXKD 622'!G$10),'CPSXKD 622'!$F219,0)</f>
        <v>0</v>
      </c>
      <c r="H219" s="192">
        <f>IF(AND($F219&lt;&gt;0,LEFT('CHUNG TU'!$J210,LEN('CPSXKD 622'!H$10))='CPSXKD 622'!H$10),'CPSXKD 622'!$F219,0)</f>
        <v>0</v>
      </c>
      <c r="I219" s="192">
        <f>IF(AND($F219&lt;&gt;0,LEFT('CHUNG TU'!$J210,LEN('CPSXKD 622'!I$10))='CPSXKD 622'!I$10),'CPSXKD 622'!$F219,0)</f>
        <v>0</v>
      </c>
      <c r="J219" s="192">
        <f>IF(AND($F219&lt;&gt;0,LEFT('CHUNG TU'!$J210,LEN('CPSXKD 622'!J$10))='CPSXKD 622'!J$10),'CPSXKD 622'!$F219,0)</f>
        <v>0</v>
      </c>
      <c r="K219" s="192">
        <f t="shared" si="4"/>
        <v>0</v>
      </c>
      <c r="L219" s="201">
        <f>IF(F219&lt;&gt;0,'CHUNG TU'!J210,"")</f>
      </c>
      <c r="M219" s="192">
        <f>IF(LEFT('CHUNG TU'!J210,3)='CPSXKD 622'!$H$7,'CHUNG TU'!$L210,0)</f>
        <v>0</v>
      </c>
      <c r="N219" s="192">
        <f>IF(M219&lt;&gt;0,'CHUNG TU'!I210,"")</f>
      </c>
    </row>
    <row r="220" spans="2:14" ht="12.75">
      <c r="B220" s="192">
        <f>IF($F220+$M220&lt;&gt;0,'CHUNG TU'!A211,"")</f>
      </c>
      <c r="C220" s="192">
        <f>IF($F220+$M220&lt;&gt;0,IF('CHUNG TU'!B211&lt;&gt;"",'CHUNG TU'!B211,IF('CHUNG TU'!C211&lt;&gt;"",'CHUNG TU'!C211,'CHUNG TU'!D211)),"")</f>
      </c>
      <c r="D220" s="192">
        <f>IF($F220+$M220&lt;&gt;0,'CHUNG TU'!F211,"")</f>
      </c>
      <c r="E220" s="192">
        <f>IF($F220+$M220&lt;&gt;0,'CHUNG TU'!H211,"")</f>
      </c>
      <c r="F220" s="192">
        <f>IF(LEFT('CHUNG TU'!I211,3)='CPSXKD 622'!$H$7,'CHUNG TU'!$L211,0)</f>
        <v>0</v>
      </c>
      <c r="G220" s="192">
        <f>IF(AND($F220&lt;&gt;0,LEFT('CHUNG TU'!$J211,LEN('CPSXKD 622'!G$10))='CPSXKD 622'!G$10),'CPSXKD 622'!$F220,0)</f>
        <v>0</v>
      </c>
      <c r="H220" s="192">
        <f>IF(AND($F220&lt;&gt;0,LEFT('CHUNG TU'!$J211,LEN('CPSXKD 622'!H$10))='CPSXKD 622'!H$10),'CPSXKD 622'!$F220,0)</f>
        <v>0</v>
      </c>
      <c r="I220" s="192">
        <f>IF(AND($F220&lt;&gt;0,LEFT('CHUNG TU'!$J211,LEN('CPSXKD 622'!I$10))='CPSXKD 622'!I$10),'CPSXKD 622'!$F220,0)</f>
        <v>0</v>
      </c>
      <c r="J220" s="192">
        <f>IF(AND($F220&lt;&gt;0,LEFT('CHUNG TU'!$J211,LEN('CPSXKD 622'!J$10))='CPSXKD 622'!J$10),'CPSXKD 622'!$F220,0)</f>
        <v>0</v>
      </c>
      <c r="K220" s="192">
        <f t="shared" si="4"/>
        <v>0</v>
      </c>
      <c r="L220" s="201">
        <f>IF(F220&lt;&gt;0,'CHUNG TU'!J211,"")</f>
      </c>
      <c r="M220" s="192">
        <f>IF(LEFT('CHUNG TU'!J211,3)='CPSXKD 622'!$H$7,'CHUNG TU'!$L211,0)</f>
        <v>0</v>
      </c>
      <c r="N220" s="192">
        <f>IF(M220&lt;&gt;0,'CHUNG TU'!I211,"")</f>
      </c>
    </row>
    <row r="221" spans="2:14" ht="12.75">
      <c r="B221" s="192">
        <f>IF($F221+$M221&lt;&gt;0,'CHUNG TU'!A212,"")</f>
      </c>
      <c r="C221" s="192">
        <f>IF($F221+$M221&lt;&gt;0,IF('CHUNG TU'!B212&lt;&gt;"",'CHUNG TU'!B212,IF('CHUNG TU'!C212&lt;&gt;"",'CHUNG TU'!C212,'CHUNG TU'!D212)),"")</f>
      </c>
      <c r="D221" s="192">
        <f>IF($F221+$M221&lt;&gt;0,'CHUNG TU'!F212,"")</f>
      </c>
      <c r="E221" s="192">
        <f>IF($F221+$M221&lt;&gt;0,'CHUNG TU'!H212,"")</f>
      </c>
      <c r="F221" s="192">
        <f>IF(LEFT('CHUNG TU'!I212,3)='CPSXKD 622'!$H$7,'CHUNG TU'!$L212,0)</f>
        <v>0</v>
      </c>
      <c r="G221" s="192">
        <f>IF(AND($F221&lt;&gt;0,LEFT('CHUNG TU'!$J212,LEN('CPSXKD 622'!G$10))='CPSXKD 622'!G$10),'CPSXKD 622'!$F221,0)</f>
        <v>0</v>
      </c>
      <c r="H221" s="192">
        <f>IF(AND($F221&lt;&gt;0,LEFT('CHUNG TU'!$J212,LEN('CPSXKD 622'!H$10))='CPSXKD 622'!H$10),'CPSXKD 622'!$F221,0)</f>
        <v>0</v>
      </c>
      <c r="I221" s="192">
        <f>IF(AND($F221&lt;&gt;0,LEFT('CHUNG TU'!$J212,LEN('CPSXKD 622'!I$10))='CPSXKD 622'!I$10),'CPSXKD 622'!$F221,0)</f>
        <v>0</v>
      </c>
      <c r="J221" s="192">
        <f>IF(AND($F221&lt;&gt;0,LEFT('CHUNG TU'!$J212,LEN('CPSXKD 622'!J$10))='CPSXKD 622'!J$10),'CPSXKD 622'!$F221,0)</f>
        <v>0</v>
      </c>
      <c r="K221" s="192">
        <f t="shared" si="4"/>
        <v>0</v>
      </c>
      <c r="L221" s="201">
        <f>IF(F221&lt;&gt;0,'CHUNG TU'!J212,"")</f>
      </c>
      <c r="M221" s="192">
        <f>IF(LEFT('CHUNG TU'!J212,3)='CPSXKD 622'!$H$7,'CHUNG TU'!$L212,0)</f>
        <v>0</v>
      </c>
      <c r="N221" s="192">
        <f>IF(M221&lt;&gt;0,'CHUNG TU'!I212,"")</f>
      </c>
    </row>
    <row r="222" spans="2:14" ht="12.75">
      <c r="B222" s="192">
        <f>IF($F222+$M222&lt;&gt;0,'CHUNG TU'!A213,"")</f>
      </c>
      <c r="C222" s="192">
        <f>IF($F222+$M222&lt;&gt;0,IF('CHUNG TU'!B213&lt;&gt;"",'CHUNG TU'!B213,IF('CHUNG TU'!C213&lt;&gt;"",'CHUNG TU'!C213,'CHUNG TU'!D213)),"")</f>
      </c>
      <c r="D222" s="192">
        <f>IF($F222+$M222&lt;&gt;0,'CHUNG TU'!F213,"")</f>
      </c>
      <c r="E222" s="192">
        <f>IF($F222+$M222&lt;&gt;0,'CHUNG TU'!H213,"")</f>
      </c>
      <c r="F222" s="192">
        <f>IF(LEFT('CHUNG TU'!I213,3)='CPSXKD 622'!$H$7,'CHUNG TU'!$L213,0)</f>
        <v>0</v>
      </c>
      <c r="G222" s="192">
        <f>IF(AND($F222&lt;&gt;0,LEFT('CHUNG TU'!$J213,LEN('CPSXKD 622'!G$10))='CPSXKD 622'!G$10),'CPSXKD 622'!$F222,0)</f>
        <v>0</v>
      </c>
      <c r="H222" s="192">
        <f>IF(AND($F222&lt;&gt;0,LEFT('CHUNG TU'!$J213,LEN('CPSXKD 622'!H$10))='CPSXKD 622'!H$10),'CPSXKD 622'!$F222,0)</f>
        <v>0</v>
      </c>
      <c r="I222" s="192">
        <f>IF(AND($F222&lt;&gt;0,LEFT('CHUNG TU'!$J213,LEN('CPSXKD 622'!I$10))='CPSXKD 622'!I$10),'CPSXKD 622'!$F222,0)</f>
        <v>0</v>
      </c>
      <c r="J222" s="192">
        <f>IF(AND($F222&lt;&gt;0,LEFT('CHUNG TU'!$J213,LEN('CPSXKD 622'!J$10))='CPSXKD 622'!J$10),'CPSXKD 622'!$F222,0)</f>
        <v>0</v>
      </c>
      <c r="K222" s="192">
        <f t="shared" si="4"/>
        <v>0</v>
      </c>
      <c r="L222" s="201">
        <f>IF(F222&lt;&gt;0,'CHUNG TU'!J213,"")</f>
      </c>
      <c r="M222" s="192">
        <f>IF(LEFT('CHUNG TU'!J213,3)='CPSXKD 622'!$H$7,'CHUNG TU'!$L213,0)</f>
        <v>0</v>
      </c>
      <c r="N222" s="192">
        <f>IF(M222&lt;&gt;0,'CHUNG TU'!I213,"")</f>
      </c>
    </row>
    <row r="223" spans="2:14" ht="12.75">
      <c r="B223" s="192">
        <f>IF($F223+$M223&lt;&gt;0,'CHUNG TU'!A214,"")</f>
      </c>
      <c r="C223" s="192">
        <f>IF($F223+$M223&lt;&gt;0,IF('CHUNG TU'!B214&lt;&gt;"",'CHUNG TU'!B214,IF('CHUNG TU'!C214&lt;&gt;"",'CHUNG TU'!C214,'CHUNG TU'!D214)),"")</f>
      </c>
      <c r="D223" s="192">
        <f>IF($F223+$M223&lt;&gt;0,'CHUNG TU'!F214,"")</f>
      </c>
      <c r="E223" s="192">
        <f>IF($F223+$M223&lt;&gt;0,'CHUNG TU'!H214,"")</f>
      </c>
      <c r="F223" s="192">
        <f>IF(LEFT('CHUNG TU'!I214,3)='CPSXKD 622'!$H$7,'CHUNG TU'!$L214,0)</f>
        <v>0</v>
      </c>
      <c r="G223" s="192">
        <f>IF(AND($F223&lt;&gt;0,LEFT('CHUNG TU'!$J214,LEN('CPSXKD 622'!G$10))='CPSXKD 622'!G$10),'CPSXKD 622'!$F223,0)</f>
        <v>0</v>
      </c>
      <c r="H223" s="192">
        <f>IF(AND($F223&lt;&gt;0,LEFT('CHUNG TU'!$J214,LEN('CPSXKD 622'!H$10))='CPSXKD 622'!H$10),'CPSXKD 622'!$F223,0)</f>
        <v>0</v>
      </c>
      <c r="I223" s="192">
        <f>IF(AND($F223&lt;&gt;0,LEFT('CHUNG TU'!$J214,LEN('CPSXKD 622'!I$10))='CPSXKD 622'!I$10),'CPSXKD 622'!$F223,0)</f>
        <v>0</v>
      </c>
      <c r="J223" s="192">
        <f>IF(AND($F223&lt;&gt;0,LEFT('CHUNG TU'!$J214,LEN('CPSXKD 622'!J$10))='CPSXKD 622'!J$10),'CPSXKD 622'!$F223,0)</f>
        <v>0</v>
      </c>
      <c r="K223" s="192">
        <f t="shared" si="4"/>
        <v>0</v>
      </c>
      <c r="L223" s="201">
        <f>IF(F223&lt;&gt;0,'CHUNG TU'!J214,"")</f>
      </c>
      <c r="M223" s="192">
        <f>IF(LEFT('CHUNG TU'!J214,3)='CPSXKD 622'!$H$7,'CHUNG TU'!$L214,0)</f>
        <v>0</v>
      </c>
      <c r="N223" s="192">
        <f>IF(M223&lt;&gt;0,'CHUNG TU'!I214,"")</f>
      </c>
    </row>
    <row r="224" spans="2:14" ht="12.75">
      <c r="B224" s="192">
        <f>IF($F224+$M224&lt;&gt;0,'CHUNG TU'!A215,"")</f>
      </c>
      <c r="C224" s="192">
        <f>IF($F224+$M224&lt;&gt;0,IF('CHUNG TU'!B215&lt;&gt;"",'CHUNG TU'!B215,IF('CHUNG TU'!C215&lt;&gt;"",'CHUNG TU'!C215,'CHUNG TU'!D215)),"")</f>
      </c>
      <c r="D224" s="192">
        <f>IF($F224+$M224&lt;&gt;0,'CHUNG TU'!F215,"")</f>
      </c>
      <c r="E224" s="192">
        <f>IF($F224+$M224&lt;&gt;0,'CHUNG TU'!H215,"")</f>
      </c>
      <c r="F224" s="192">
        <f>IF(LEFT('CHUNG TU'!I215,3)='CPSXKD 622'!$H$7,'CHUNG TU'!$L215,0)</f>
        <v>0</v>
      </c>
      <c r="G224" s="192">
        <f>IF(AND($F224&lt;&gt;0,LEFT('CHUNG TU'!$J215,LEN('CPSXKD 622'!G$10))='CPSXKD 622'!G$10),'CPSXKD 622'!$F224,0)</f>
        <v>0</v>
      </c>
      <c r="H224" s="192">
        <f>IF(AND($F224&lt;&gt;0,LEFT('CHUNG TU'!$J215,LEN('CPSXKD 622'!H$10))='CPSXKD 622'!H$10),'CPSXKD 622'!$F224,0)</f>
        <v>0</v>
      </c>
      <c r="I224" s="192">
        <f>IF(AND($F224&lt;&gt;0,LEFT('CHUNG TU'!$J215,LEN('CPSXKD 622'!I$10))='CPSXKD 622'!I$10),'CPSXKD 622'!$F224,0)</f>
        <v>0</v>
      </c>
      <c r="J224" s="192">
        <f>IF(AND($F224&lt;&gt;0,LEFT('CHUNG TU'!$J215,LEN('CPSXKD 622'!J$10))='CPSXKD 622'!J$10),'CPSXKD 622'!$F224,0)</f>
        <v>0</v>
      </c>
      <c r="K224" s="192">
        <f t="shared" si="4"/>
        <v>0</v>
      </c>
      <c r="L224" s="201">
        <f>IF(F224&lt;&gt;0,'CHUNG TU'!J215,"")</f>
      </c>
      <c r="M224" s="192">
        <f>IF(LEFT('CHUNG TU'!J215,3)='CPSXKD 622'!$H$7,'CHUNG TU'!$L215,0)</f>
        <v>0</v>
      </c>
      <c r="N224" s="192">
        <f>IF(M224&lt;&gt;0,'CHUNG TU'!I215,"")</f>
      </c>
    </row>
    <row r="225" spans="2:14" ht="12.75">
      <c r="B225" s="192">
        <f>IF($F225+$M225&lt;&gt;0,'CHUNG TU'!A216,"")</f>
      </c>
      <c r="C225" s="192">
        <f>IF($F225+$M225&lt;&gt;0,IF('CHUNG TU'!B216&lt;&gt;"",'CHUNG TU'!B216,IF('CHUNG TU'!C216&lt;&gt;"",'CHUNG TU'!C216,'CHUNG TU'!D216)),"")</f>
      </c>
      <c r="D225" s="192">
        <f>IF($F225+$M225&lt;&gt;0,'CHUNG TU'!F216,"")</f>
      </c>
      <c r="E225" s="192">
        <f>IF($F225+$M225&lt;&gt;0,'CHUNG TU'!H216,"")</f>
      </c>
      <c r="F225" s="192">
        <f>IF(LEFT('CHUNG TU'!I216,3)='CPSXKD 622'!$H$7,'CHUNG TU'!$L216,0)</f>
        <v>0</v>
      </c>
      <c r="G225" s="192">
        <f>IF(AND($F225&lt;&gt;0,LEFT('CHUNG TU'!$J216,LEN('CPSXKD 622'!G$10))='CPSXKD 622'!G$10),'CPSXKD 622'!$F225,0)</f>
        <v>0</v>
      </c>
      <c r="H225" s="192">
        <f>IF(AND($F225&lt;&gt;0,LEFT('CHUNG TU'!$J216,LEN('CPSXKD 622'!H$10))='CPSXKD 622'!H$10),'CPSXKD 622'!$F225,0)</f>
        <v>0</v>
      </c>
      <c r="I225" s="192">
        <f>IF(AND($F225&lt;&gt;0,LEFT('CHUNG TU'!$J216,LEN('CPSXKD 622'!I$10))='CPSXKD 622'!I$10),'CPSXKD 622'!$F225,0)</f>
        <v>0</v>
      </c>
      <c r="J225" s="192">
        <f>IF(AND($F225&lt;&gt;0,LEFT('CHUNG TU'!$J216,LEN('CPSXKD 622'!J$10))='CPSXKD 622'!J$10),'CPSXKD 622'!$F225,0)</f>
        <v>0</v>
      </c>
      <c r="K225" s="192">
        <f t="shared" si="4"/>
        <v>0</v>
      </c>
      <c r="L225" s="201">
        <f>IF(F225&lt;&gt;0,'CHUNG TU'!J216,"")</f>
      </c>
      <c r="M225" s="192">
        <f>IF(LEFT('CHUNG TU'!J216,3)='CPSXKD 622'!$H$7,'CHUNG TU'!$L216,0)</f>
        <v>0</v>
      </c>
      <c r="N225" s="192">
        <f>IF(M225&lt;&gt;0,'CHUNG TU'!I216,"")</f>
      </c>
    </row>
    <row r="226" spans="2:14" ht="12.75">
      <c r="B226" s="192">
        <f>IF($F226+$M226&lt;&gt;0,'CHUNG TU'!A217,"")</f>
      </c>
      <c r="C226" s="192">
        <f>IF($F226+$M226&lt;&gt;0,IF('CHUNG TU'!B217&lt;&gt;"",'CHUNG TU'!B217,IF('CHUNG TU'!C217&lt;&gt;"",'CHUNG TU'!C217,'CHUNG TU'!D217)),"")</f>
      </c>
      <c r="D226" s="192">
        <f>IF($F226+$M226&lt;&gt;0,'CHUNG TU'!F217,"")</f>
      </c>
      <c r="E226" s="192">
        <f>IF($F226+$M226&lt;&gt;0,'CHUNG TU'!H217,"")</f>
      </c>
      <c r="F226" s="192">
        <f>IF(LEFT('CHUNG TU'!I217,3)='CPSXKD 622'!$H$7,'CHUNG TU'!$L217,0)</f>
        <v>0</v>
      </c>
      <c r="G226" s="192">
        <f>IF(AND($F226&lt;&gt;0,LEFT('CHUNG TU'!$J217,LEN('CPSXKD 622'!G$10))='CPSXKD 622'!G$10),'CPSXKD 622'!$F226,0)</f>
        <v>0</v>
      </c>
      <c r="H226" s="192">
        <f>IF(AND($F226&lt;&gt;0,LEFT('CHUNG TU'!$J217,LEN('CPSXKD 622'!H$10))='CPSXKD 622'!H$10),'CPSXKD 622'!$F226,0)</f>
        <v>0</v>
      </c>
      <c r="I226" s="192">
        <f>IF(AND($F226&lt;&gt;0,LEFT('CHUNG TU'!$J217,LEN('CPSXKD 622'!I$10))='CPSXKD 622'!I$10),'CPSXKD 622'!$F226,0)</f>
        <v>0</v>
      </c>
      <c r="J226" s="192">
        <f>IF(AND($F226&lt;&gt;0,LEFT('CHUNG TU'!$J217,LEN('CPSXKD 622'!J$10))='CPSXKD 622'!J$10),'CPSXKD 622'!$F226,0)</f>
        <v>0</v>
      </c>
      <c r="K226" s="192">
        <f t="shared" si="4"/>
        <v>0</v>
      </c>
      <c r="L226" s="201">
        <f>IF(F226&lt;&gt;0,'CHUNG TU'!J217,"")</f>
      </c>
      <c r="M226" s="192">
        <f>IF(LEFT('CHUNG TU'!J217,3)='CPSXKD 622'!$H$7,'CHUNG TU'!$L217,0)</f>
        <v>0</v>
      </c>
      <c r="N226" s="192">
        <f>IF(M226&lt;&gt;0,'CHUNG TU'!I217,"")</f>
      </c>
    </row>
    <row r="227" spans="2:14" ht="12.75">
      <c r="B227" s="192">
        <f>IF($F227+$M227&lt;&gt;0,'CHUNG TU'!A218,"")</f>
      </c>
      <c r="C227" s="192">
        <f>IF($F227+$M227&lt;&gt;0,IF('CHUNG TU'!B218&lt;&gt;"",'CHUNG TU'!B218,IF('CHUNG TU'!C218&lt;&gt;"",'CHUNG TU'!C218,'CHUNG TU'!D218)),"")</f>
      </c>
      <c r="D227" s="192">
        <f>IF($F227+$M227&lt;&gt;0,'CHUNG TU'!F218,"")</f>
      </c>
      <c r="E227" s="192">
        <f>IF($F227+$M227&lt;&gt;0,'CHUNG TU'!H218,"")</f>
      </c>
      <c r="F227" s="192">
        <f>IF(LEFT('CHUNG TU'!I218,3)='CPSXKD 622'!$H$7,'CHUNG TU'!$L218,0)</f>
        <v>0</v>
      </c>
      <c r="G227" s="192">
        <f>IF(AND($F227&lt;&gt;0,LEFT('CHUNG TU'!$J218,LEN('CPSXKD 622'!G$10))='CPSXKD 622'!G$10),'CPSXKD 622'!$F227,0)</f>
        <v>0</v>
      </c>
      <c r="H227" s="192">
        <f>IF(AND($F227&lt;&gt;0,LEFT('CHUNG TU'!$J218,LEN('CPSXKD 622'!H$10))='CPSXKD 622'!H$10),'CPSXKD 622'!$F227,0)</f>
        <v>0</v>
      </c>
      <c r="I227" s="192">
        <f>IF(AND($F227&lt;&gt;0,LEFT('CHUNG TU'!$J218,LEN('CPSXKD 622'!I$10))='CPSXKD 622'!I$10),'CPSXKD 622'!$F227,0)</f>
        <v>0</v>
      </c>
      <c r="J227" s="192">
        <f>IF(AND($F227&lt;&gt;0,LEFT('CHUNG TU'!$J218,LEN('CPSXKD 622'!J$10))='CPSXKD 622'!J$10),'CPSXKD 622'!$F227,0)</f>
        <v>0</v>
      </c>
      <c r="K227" s="192">
        <f t="shared" si="4"/>
        <v>0</v>
      </c>
      <c r="L227" s="201">
        <f>IF(F227&lt;&gt;0,'CHUNG TU'!J218,"")</f>
      </c>
      <c r="M227" s="192">
        <f>IF(LEFT('CHUNG TU'!J218,3)='CPSXKD 622'!$H$7,'CHUNG TU'!$L218,0)</f>
        <v>0</v>
      </c>
      <c r="N227" s="192">
        <f>IF(M227&lt;&gt;0,'CHUNG TU'!I218,"")</f>
      </c>
    </row>
    <row r="228" spans="2:14" ht="12.75">
      <c r="B228" s="192">
        <f>IF($F228+$M228&lt;&gt;0,'CHUNG TU'!A219,"")</f>
      </c>
      <c r="C228" s="192">
        <f>IF($F228+$M228&lt;&gt;0,IF('CHUNG TU'!B219&lt;&gt;"",'CHUNG TU'!B219,IF('CHUNG TU'!C219&lt;&gt;"",'CHUNG TU'!C219,'CHUNG TU'!D219)),"")</f>
      </c>
      <c r="D228" s="192">
        <f>IF($F228+$M228&lt;&gt;0,'CHUNG TU'!F219,"")</f>
      </c>
      <c r="E228" s="192">
        <f>IF($F228+$M228&lt;&gt;0,'CHUNG TU'!H219,"")</f>
      </c>
      <c r="F228" s="192">
        <f>IF(LEFT('CHUNG TU'!I219,3)='CPSXKD 622'!$H$7,'CHUNG TU'!$L219,0)</f>
        <v>0</v>
      </c>
      <c r="G228" s="192">
        <f>IF(AND($F228&lt;&gt;0,LEFT('CHUNG TU'!$J219,LEN('CPSXKD 622'!G$10))='CPSXKD 622'!G$10),'CPSXKD 622'!$F228,0)</f>
        <v>0</v>
      </c>
      <c r="H228" s="192">
        <f>IF(AND($F228&lt;&gt;0,LEFT('CHUNG TU'!$J219,LEN('CPSXKD 622'!H$10))='CPSXKD 622'!H$10),'CPSXKD 622'!$F228,0)</f>
        <v>0</v>
      </c>
      <c r="I228" s="192">
        <f>IF(AND($F228&lt;&gt;0,LEFT('CHUNG TU'!$J219,LEN('CPSXKD 622'!I$10))='CPSXKD 622'!I$10),'CPSXKD 622'!$F228,0)</f>
        <v>0</v>
      </c>
      <c r="J228" s="192">
        <f>IF(AND($F228&lt;&gt;0,LEFT('CHUNG TU'!$J219,LEN('CPSXKD 622'!J$10))='CPSXKD 622'!J$10),'CPSXKD 622'!$F228,0)</f>
        <v>0</v>
      </c>
      <c r="K228" s="192">
        <f t="shared" si="4"/>
        <v>0</v>
      </c>
      <c r="L228" s="201">
        <f>IF(F228&lt;&gt;0,'CHUNG TU'!J219,"")</f>
      </c>
      <c r="M228" s="192">
        <f>IF(LEFT('CHUNG TU'!J219,3)='CPSXKD 622'!$H$7,'CHUNG TU'!$L219,0)</f>
        <v>0</v>
      </c>
      <c r="N228" s="192">
        <f>IF(M228&lt;&gt;0,'CHUNG TU'!I219,"")</f>
      </c>
    </row>
    <row r="229" spans="2:14" ht="12.75">
      <c r="B229" s="192">
        <f>IF($F229+$M229&lt;&gt;0,'CHUNG TU'!A220,"")</f>
      </c>
      <c r="C229" s="192">
        <f>IF($F229+$M229&lt;&gt;0,IF('CHUNG TU'!B220&lt;&gt;"",'CHUNG TU'!B220,IF('CHUNG TU'!C220&lt;&gt;"",'CHUNG TU'!C220,'CHUNG TU'!D220)),"")</f>
      </c>
      <c r="D229" s="192">
        <f>IF($F229+$M229&lt;&gt;0,'CHUNG TU'!F220,"")</f>
      </c>
      <c r="E229" s="192">
        <f>IF($F229+$M229&lt;&gt;0,'CHUNG TU'!H220,"")</f>
      </c>
      <c r="F229" s="192">
        <f>IF(LEFT('CHUNG TU'!I220,3)='CPSXKD 622'!$H$7,'CHUNG TU'!$L220,0)</f>
        <v>0</v>
      </c>
      <c r="G229" s="192">
        <f>IF(AND($F229&lt;&gt;0,LEFT('CHUNG TU'!$J220,LEN('CPSXKD 622'!G$10))='CPSXKD 622'!G$10),'CPSXKD 622'!$F229,0)</f>
        <v>0</v>
      </c>
      <c r="H229" s="192">
        <f>IF(AND($F229&lt;&gt;0,LEFT('CHUNG TU'!$J220,LEN('CPSXKD 622'!H$10))='CPSXKD 622'!H$10),'CPSXKD 622'!$F229,0)</f>
        <v>0</v>
      </c>
      <c r="I229" s="192">
        <f>IF(AND($F229&lt;&gt;0,LEFT('CHUNG TU'!$J220,LEN('CPSXKD 622'!I$10))='CPSXKD 622'!I$10),'CPSXKD 622'!$F229,0)</f>
        <v>0</v>
      </c>
      <c r="J229" s="192">
        <f>IF(AND($F229&lt;&gt;0,LEFT('CHUNG TU'!$J220,LEN('CPSXKD 622'!J$10))='CPSXKD 622'!J$10),'CPSXKD 622'!$F229,0)</f>
        <v>0</v>
      </c>
      <c r="K229" s="192">
        <f t="shared" si="4"/>
        <v>0</v>
      </c>
      <c r="L229" s="201">
        <f>IF(F229&lt;&gt;0,'CHUNG TU'!J220,"")</f>
      </c>
      <c r="M229" s="192">
        <f>IF(LEFT('CHUNG TU'!J220,3)='CPSXKD 622'!$H$7,'CHUNG TU'!$L220,0)</f>
        <v>0</v>
      </c>
      <c r="N229" s="192">
        <f>IF(M229&lt;&gt;0,'CHUNG TU'!I220,"")</f>
      </c>
    </row>
    <row r="230" spans="2:14" ht="12.75">
      <c r="B230" s="192">
        <f>IF($F230+$M230&lt;&gt;0,'CHUNG TU'!A221,"")</f>
      </c>
      <c r="C230" s="192">
        <f>IF($F230+$M230&lt;&gt;0,IF('CHUNG TU'!B221&lt;&gt;"",'CHUNG TU'!B221,IF('CHUNG TU'!C221&lt;&gt;"",'CHUNG TU'!C221,'CHUNG TU'!D221)),"")</f>
      </c>
      <c r="D230" s="192">
        <f>IF($F230+$M230&lt;&gt;0,'CHUNG TU'!F221,"")</f>
      </c>
      <c r="E230" s="192">
        <f>IF($F230+$M230&lt;&gt;0,'CHUNG TU'!H221,"")</f>
      </c>
      <c r="F230" s="192">
        <f>IF(LEFT('CHUNG TU'!I221,3)='CPSXKD 622'!$H$7,'CHUNG TU'!$L221,0)</f>
        <v>0</v>
      </c>
      <c r="G230" s="192">
        <f>IF(AND($F230&lt;&gt;0,LEFT('CHUNG TU'!$J221,LEN('CPSXKD 622'!G$10))='CPSXKD 622'!G$10),'CPSXKD 622'!$F230,0)</f>
        <v>0</v>
      </c>
      <c r="H230" s="192">
        <f>IF(AND($F230&lt;&gt;0,LEFT('CHUNG TU'!$J221,LEN('CPSXKD 622'!H$10))='CPSXKD 622'!H$10),'CPSXKD 622'!$F230,0)</f>
        <v>0</v>
      </c>
      <c r="I230" s="192">
        <f>IF(AND($F230&lt;&gt;0,LEFT('CHUNG TU'!$J221,LEN('CPSXKD 622'!I$10))='CPSXKD 622'!I$10),'CPSXKD 622'!$F230,0)</f>
        <v>0</v>
      </c>
      <c r="J230" s="192">
        <f>IF(AND($F230&lt;&gt;0,LEFT('CHUNG TU'!$J221,LEN('CPSXKD 622'!J$10))='CPSXKD 622'!J$10),'CPSXKD 622'!$F230,0)</f>
        <v>0</v>
      </c>
      <c r="K230" s="192">
        <f t="shared" si="4"/>
        <v>0</v>
      </c>
      <c r="L230" s="201">
        <f>IF(F230&lt;&gt;0,'CHUNG TU'!J221,"")</f>
      </c>
      <c r="M230" s="192">
        <f>IF(LEFT('CHUNG TU'!J221,3)='CPSXKD 622'!$H$7,'CHUNG TU'!$L221,0)</f>
        <v>0</v>
      </c>
      <c r="N230" s="192">
        <f>IF(M230&lt;&gt;0,'CHUNG TU'!I221,"")</f>
      </c>
    </row>
    <row r="231" spans="2:14" ht="12.75">
      <c r="B231" s="192">
        <f>IF($F231+$M231&lt;&gt;0,'CHUNG TU'!A222,"")</f>
      </c>
      <c r="C231" s="192">
        <f>IF($F231+$M231&lt;&gt;0,IF('CHUNG TU'!B222&lt;&gt;"",'CHUNG TU'!B222,IF('CHUNG TU'!C222&lt;&gt;"",'CHUNG TU'!C222,'CHUNG TU'!D222)),"")</f>
      </c>
      <c r="D231" s="192">
        <f>IF($F231+$M231&lt;&gt;0,'CHUNG TU'!F222,"")</f>
      </c>
      <c r="E231" s="192">
        <f>IF($F231+$M231&lt;&gt;0,'CHUNG TU'!H222,"")</f>
      </c>
      <c r="F231" s="192">
        <f>IF(LEFT('CHUNG TU'!I222,3)='CPSXKD 622'!$H$7,'CHUNG TU'!$L222,0)</f>
        <v>0</v>
      </c>
      <c r="G231" s="192">
        <f>IF(AND($F231&lt;&gt;0,LEFT('CHUNG TU'!$J222,LEN('CPSXKD 622'!G$10))='CPSXKD 622'!G$10),'CPSXKD 622'!$F231,0)</f>
        <v>0</v>
      </c>
      <c r="H231" s="192">
        <f>IF(AND($F231&lt;&gt;0,LEFT('CHUNG TU'!$J222,LEN('CPSXKD 622'!H$10))='CPSXKD 622'!H$10),'CPSXKD 622'!$F231,0)</f>
        <v>0</v>
      </c>
      <c r="I231" s="192">
        <f>IF(AND($F231&lt;&gt;0,LEFT('CHUNG TU'!$J222,LEN('CPSXKD 622'!I$10))='CPSXKD 622'!I$10),'CPSXKD 622'!$F231,0)</f>
        <v>0</v>
      </c>
      <c r="J231" s="192">
        <f>IF(AND($F231&lt;&gt;0,LEFT('CHUNG TU'!$J222,LEN('CPSXKD 622'!J$10))='CPSXKD 622'!J$10),'CPSXKD 622'!$F231,0)</f>
        <v>0</v>
      </c>
      <c r="K231" s="192">
        <f t="shared" si="4"/>
        <v>0</v>
      </c>
      <c r="L231" s="201">
        <f>IF(F231&lt;&gt;0,'CHUNG TU'!J222,"")</f>
      </c>
      <c r="M231" s="192">
        <f>IF(LEFT('CHUNG TU'!J222,3)='CPSXKD 622'!$H$7,'CHUNG TU'!$L222,0)</f>
        <v>0</v>
      </c>
      <c r="N231" s="192">
        <f>IF(M231&lt;&gt;0,'CHUNG TU'!I222,"")</f>
      </c>
    </row>
    <row r="232" spans="2:14" ht="12.75">
      <c r="B232" s="192">
        <f>IF($F232+$M232&lt;&gt;0,'CHUNG TU'!A223,"")</f>
      </c>
      <c r="C232" s="192">
        <f>IF($F232+$M232&lt;&gt;0,IF('CHUNG TU'!B223&lt;&gt;"",'CHUNG TU'!B223,IF('CHUNG TU'!C223&lt;&gt;"",'CHUNG TU'!C223,'CHUNG TU'!D223)),"")</f>
      </c>
      <c r="D232" s="192">
        <f>IF($F232+$M232&lt;&gt;0,'CHUNG TU'!F223,"")</f>
      </c>
      <c r="E232" s="192">
        <f>IF($F232+$M232&lt;&gt;0,'CHUNG TU'!H223,"")</f>
      </c>
      <c r="F232" s="192">
        <f>IF(LEFT('CHUNG TU'!I223,3)='CPSXKD 622'!$H$7,'CHUNG TU'!$L223,0)</f>
        <v>0</v>
      </c>
      <c r="G232" s="192">
        <f>IF(AND($F232&lt;&gt;0,LEFT('CHUNG TU'!$J223,LEN('CPSXKD 622'!G$10))='CPSXKD 622'!G$10),'CPSXKD 622'!$F232,0)</f>
        <v>0</v>
      </c>
      <c r="H232" s="192">
        <f>IF(AND($F232&lt;&gt;0,LEFT('CHUNG TU'!$J223,LEN('CPSXKD 622'!H$10))='CPSXKD 622'!H$10),'CPSXKD 622'!$F232,0)</f>
        <v>0</v>
      </c>
      <c r="I232" s="192">
        <f>IF(AND($F232&lt;&gt;0,LEFT('CHUNG TU'!$J223,LEN('CPSXKD 622'!I$10))='CPSXKD 622'!I$10),'CPSXKD 622'!$F232,0)</f>
        <v>0</v>
      </c>
      <c r="J232" s="192">
        <f>IF(AND($F232&lt;&gt;0,LEFT('CHUNG TU'!$J223,LEN('CPSXKD 622'!J$10))='CPSXKD 622'!J$10),'CPSXKD 622'!$F232,0)</f>
        <v>0</v>
      </c>
      <c r="K232" s="192">
        <f t="shared" si="4"/>
        <v>0</v>
      </c>
      <c r="L232" s="201">
        <f>IF(F232&lt;&gt;0,'CHUNG TU'!J223,"")</f>
      </c>
      <c r="M232" s="192">
        <f>IF(LEFT('CHUNG TU'!J223,3)='CPSXKD 622'!$H$7,'CHUNG TU'!$L223,0)</f>
        <v>0</v>
      </c>
      <c r="N232" s="192">
        <f>IF(M232&lt;&gt;0,'CHUNG TU'!I223,"")</f>
      </c>
    </row>
    <row r="233" spans="2:14" ht="12.75">
      <c r="B233" s="192">
        <f>IF($F233+$M233&lt;&gt;0,'CHUNG TU'!A224,"")</f>
      </c>
      <c r="C233" s="192">
        <f>IF($F233+$M233&lt;&gt;0,IF('CHUNG TU'!B224&lt;&gt;"",'CHUNG TU'!B224,IF('CHUNG TU'!C224&lt;&gt;"",'CHUNG TU'!C224,'CHUNG TU'!D224)),"")</f>
      </c>
      <c r="D233" s="192">
        <f>IF($F233+$M233&lt;&gt;0,'CHUNG TU'!F224,"")</f>
      </c>
      <c r="E233" s="192">
        <f>IF($F233+$M233&lt;&gt;0,'CHUNG TU'!H224,"")</f>
      </c>
      <c r="F233" s="192">
        <f>IF(LEFT('CHUNG TU'!I224,3)='CPSXKD 622'!$H$7,'CHUNG TU'!$L224,0)</f>
        <v>0</v>
      </c>
      <c r="G233" s="192">
        <f>IF(AND($F233&lt;&gt;0,LEFT('CHUNG TU'!$J224,LEN('CPSXKD 622'!G$10))='CPSXKD 622'!G$10),'CPSXKD 622'!$F233,0)</f>
        <v>0</v>
      </c>
      <c r="H233" s="192">
        <f>IF(AND($F233&lt;&gt;0,LEFT('CHUNG TU'!$J224,LEN('CPSXKD 622'!H$10))='CPSXKD 622'!H$10),'CPSXKD 622'!$F233,0)</f>
        <v>0</v>
      </c>
      <c r="I233" s="192">
        <f>IF(AND($F233&lt;&gt;0,LEFT('CHUNG TU'!$J224,LEN('CPSXKD 622'!I$10))='CPSXKD 622'!I$10),'CPSXKD 622'!$F233,0)</f>
        <v>0</v>
      </c>
      <c r="J233" s="192">
        <f>IF(AND($F233&lt;&gt;0,LEFT('CHUNG TU'!$J224,LEN('CPSXKD 622'!J$10))='CPSXKD 622'!J$10),'CPSXKD 622'!$F233,0)</f>
        <v>0</v>
      </c>
      <c r="K233" s="192">
        <f t="shared" si="4"/>
        <v>0</v>
      </c>
      <c r="L233" s="201">
        <f>IF(F233&lt;&gt;0,'CHUNG TU'!J224,"")</f>
      </c>
      <c r="M233" s="192">
        <f>IF(LEFT('CHUNG TU'!J224,3)='CPSXKD 622'!$H$7,'CHUNG TU'!$L224,0)</f>
        <v>0</v>
      </c>
      <c r="N233" s="192">
        <f>IF(M233&lt;&gt;0,'CHUNG TU'!I224,"")</f>
      </c>
    </row>
    <row r="234" spans="2:14" ht="12.75">
      <c r="B234" s="192">
        <f>IF($F234+$M234&lt;&gt;0,'CHUNG TU'!A225,"")</f>
      </c>
      <c r="C234" s="192">
        <f>IF($F234+$M234&lt;&gt;0,IF('CHUNG TU'!B225&lt;&gt;"",'CHUNG TU'!B225,IF('CHUNG TU'!C225&lt;&gt;"",'CHUNG TU'!C225,'CHUNG TU'!D225)),"")</f>
      </c>
      <c r="D234" s="192">
        <f>IF($F234+$M234&lt;&gt;0,'CHUNG TU'!F225,"")</f>
      </c>
      <c r="E234" s="192">
        <f>IF($F234+$M234&lt;&gt;0,'CHUNG TU'!H225,"")</f>
      </c>
      <c r="F234" s="192">
        <f>IF(LEFT('CHUNG TU'!I225,3)='CPSXKD 622'!$H$7,'CHUNG TU'!$L225,0)</f>
        <v>0</v>
      </c>
      <c r="G234" s="192">
        <f>IF(AND($F234&lt;&gt;0,LEFT('CHUNG TU'!$J225,LEN('CPSXKD 622'!G$10))='CPSXKD 622'!G$10),'CPSXKD 622'!$F234,0)</f>
        <v>0</v>
      </c>
      <c r="H234" s="192">
        <f>IF(AND($F234&lt;&gt;0,LEFT('CHUNG TU'!$J225,LEN('CPSXKD 622'!H$10))='CPSXKD 622'!H$10),'CPSXKD 622'!$F234,0)</f>
        <v>0</v>
      </c>
      <c r="I234" s="192">
        <f>IF(AND($F234&lt;&gt;0,LEFT('CHUNG TU'!$J225,LEN('CPSXKD 622'!I$10))='CPSXKD 622'!I$10),'CPSXKD 622'!$F234,0)</f>
        <v>0</v>
      </c>
      <c r="J234" s="192">
        <f>IF(AND($F234&lt;&gt;0,LEFT('CHUNG TU'!$J225,LEN('CPSXKD 622'!J$10))='CPSXKD 622'!J$10),'CPSXKD 622'!$F234,0)</f>
        <v>0</v>
      </c>
      <c r="K234" s="192">
        <f t="shared" si="4"/>
        <v>0</v>
      </c>
      <c r="L234" s="201">
        <f>IF(F234&lt;&gt;0,'CHUNG TU'!J225,"")</f>
      </c>
      <c r="M234" s="192">
        <f>IF(LEFT('CHUNG TU'!J225,3)='CPSXKD 622'!$H$7,'CHUNG TU'!$L225,0)</f>
        <v>0</v>
      </c>
      <c r="N234" s="192">
        <f>IF(M234&lt;&gt;0,'CHUNG TU'!I225,"")</f>
      </c>
    </row>
    <row r="235" spans="2:14" ht="12.75">
      <c r="B235" s="192">
        <f>IF($F235+$M235&lt;&gt;0,'CHUNG TU'!A226,"")</f>
      </c>
      <c r="C235" s="192">
        <f>IF($F235+$M235&lt;&gt;0,IF('CHUNG TU'!B226&lt;&gt;"",'CHUNG TU'!B226,IF('CHUNG TU'!C226&lt;&gt;"",'CHUNG TU'!C226,'CHUNG TU'!D226)),"")</f>
      </c>
      <c r="D235" s="192">
        <f>IF($F235+$M235&lt;&gt;0,'CHUNG TU'!F226,"")</f>
      </c>
      <c r="E235" s="192">
        <f>IF($F235+$M235&lt;&gt;0,'CHUNG TU'!H226,"")</f>
      </c>
      <c r="F235" s="192">
        <f>IF(LEFT('CHUNG TU'!I226,3)='CPSXKD 622'!$H$7,'CHUNG TU'!$L226,0)</f>
        <v>0</v>
      </c>
      <c r="G235" s="192">
        <f>IF(AND($F235&lt;&gt;0,LEFT('CHUNG TU'!$J226,LEN('CPSXKD 622'!G$10))='CPSXKD 622'!G$10),'CPSXKD 622'!$F235,0)</f>
        <v>0</v>
      </c>
      <c r="H235" s="192">
        <f>IF(AND($F235&lt;&gt;0,LEFT('CHUNG TU'!$J226,LEN('CPSXKD 622'!H$10))='CPSXKD 622'!H$10),'CPSXKD 622'!$F235,0)</f>
        <v>0</v>
      </c>
      <c r="I235" s="192">
        <f>IF(AND($F235&lt;&gt;0,LEFT('CHUNG TU'!$J226,LEN('CPSXKD 622'!I$10))='CPSXKD 622'!I$10),'CPSXKD 622'!$F235,0)</f>
        <v>0</v>
      </c>
      <c r="J235" s="192">
        <f>IF(AND($F235&lt;&gt;0,LEFT('CHUNG TU'!$J226,LEN('CPSXKD 622'!J$10))='CPSXKD 622'!J$10),'CPSXKD 622'!$F235,0)</f>
        <v>0</v>
      </c>
      <c r="K235" s="192">
        <f t="shared" si="4"/>
        <v>0</v>
      </c>
      <c r="L235" s="201">
        <f>IF(F235&lt;&gt;0,'CHUNG TU'!J226,"")</f>
      </c>
      <c r="M235" s="192">
        <f>IF(LEFT('CHUNG TU'!J226,3)='CPSXKD 622'!$H$7,'CHUNG TU'!$L226,0)</f>
        <v>0</v>
      </c>
      <c r="N235" s="192">
        <f>IF(M235&lt;&gt;0,'CHUNG TU'!I226,"")</f>
      </c>
    </row>
    <row r="236" spans="2:14" ht="12.75">
      <c r="B236" s="192">
        <f>IF($F236+$M236&lt;&gt;0,'CHUNG TU'!A227,"")</f>
      </c>
      <c r="C236" s="192">
        <f>IF($F236+$M236&lt;&gt;0,IF('CHUNG TU'!B227&lt;&gt;"",'CHUNG TU'!B227,IF('CHUNG TU'!C227&lt;&gt;"",'CHUNG TU'!C227,'CHUNG TU'!D227)),"")</f>
      </c>
      <c r="D236" s="192">
        <f>IF($F236+$M236&lt;&gt;0,'CHUNG TU'!F227,"")</f>
      </c>
      <c r="E236" s="192">
        <f>IF($F236+$M236&lt;&gt;0,'CHUNG TU'!H227,"")</f>
      </c>
      <c r="F236" s="192">
        <f>IF(LEFT('CHUNG TU'!I227,3)='CPSXKD 622'!$H$7,'CHUNG TU'!$L227,0)</f>
        <v>0</v>
      </c>
      <c r="G236" s="192">
        <f>IF(AND($F236&lt;&gt;0,LEFT('CHUNG TU'!$J227,LEN('CPSXKD 622'!G$10))='CPSXKD 622'!G$10),'CPSXKD 622'!$F236,0)</f>
        <v>0</v>
      </c>
      <c r="H236" s="192">
        <f>IF(AND($F236&lt;&gt;0,LEFT('CHUNG TU'!$J227,LEN('CPSXKD 622'!H$10))='CPSXKD 622'!H$10),'CPSXKD 622'!$F236,0)</f>
        <v>0</v>
      </c>
      <c r="I236" s="192">
        <f>IF(AND($F236&lt;&gt;0,LEFT('CHUNG TU'!$J227,LEN('CPSXKD 622'!I$10))='CPSXKD 622'!I$10),'CPSXKD 622'!$F236,0)</f>
        <v>0</v>
      </c>
      <c r="J236" s="192">
        <f>IF(AND($F236&lt;&gt;0,LEFT('CHUNG TU'!$J227,LEN('CPSXKD 622'!J$10))='CPSXKD 622'!J$10),'CPSXKD 622'!$F236,0)</f>
        <v>0</v>
      </c>
      <c r="K236" s="192">
        <f t="shared" si="4"/>
        <v>0</v>
      </c>
      <c r="L236" s="201">
        <f>IF(F236&lt;&gt;0,'CHUNG TU'!J227,"")</f>
      </c>
      <c r="M236" s="192">
        <f>IF(LEFT('CHUNG TU'!J227,3)='CPSXKD 622'!$H$7,'CHUNG TU'!$L227,0)</f>
        <v>0</v>
      </c>
      <c r="N236" s="192">
        <f>IF(M236&lt;&gt;0,'CHUNG TU'!I227,"")</f>
      </c>
    </row>
    <row r="237" spans="2:14" ht="12.75">
      <c r="B237" s="192">
        <f>IF($F237+$M237&lt;&gt;0,'CHUNG TU'!A228,"")</f>
      </c>
      <c r="C237" s="192">
        <f>IF($F237+$M237&lt;&gt;0,IF('CHUNG TU'!B228&lt;&gt;"",'CHUNG TU'!B228,IF('CHUNG TU'!C228&lt;&gt;"",'CHUNG TU'!C228,'CHUNG TU'!D228)),"")</f>
      </c>
      <c r="D237" s="192">
        <f>IF($F237+$M237&lt;&gt;0,'CHUNG TU'!F228,"")</f>
      </c>
      <c r="E237" s="192">
        <f>IF($F237+$M237&lt;&gt;0,'CHUNG TU'!H228,"")</f>
      </c>
      <c r="F237" s="192">
        <f>IF(LEFT('CHUNG TU'!I228,3)='CPSXKD 622'!$H$7,'CHUNG TU'!$L228,0)</f>
        <v>0</v>
      </c>
      <c r="G237" s="192">
        <f>IF(AND($F237&lt;&gt;0,LEFT('CHUNG TU'!$J228,LEN('CPSXKD 622'!G$10))='CPSXKD 622'!G$10),'CPSXKD 622'!$F237,0)</f>
        <v>0</v>
      </c>
      <c r="H237" s="192">
        <f>IF(AND($F237&lt;&gt;0,LEFT('CHUNG TU'!$J228,LEN('CPSXKD 622'!H$10))='CPSXKD 622'!H$10),'CPSXKD 622'!$F237,0)</f>
        <v>0</v>
      </c>
      <c r="I237" s="192">
        <f>IF(AND($F237&lt;&gt;0,LEFT('CHUNG TU'!$J228,LEN('CPSXKD 622'!I$10))='CPSXKD 622'!I$10),'CPSXKD 622'!$F237,0)</f>
        <v>0</v>
      </c>
      <c r="J237" s="192">
        <f>IF(AND($F237&lt;&gt;0,LEFT('CHUNG TU'!$J228,LEN('CPSXKD 622'!J$10))='CPSXKD 622'!J$10),'CPSXKD 622'!$F237,0)</f>
        <v>0</v>
      </c>
      <c r="K237" s="192">
        <f t="shared" si="4"/>
        <v>0</v>
      </c>
      <c r="L237" s="201">
        <f>IF(F237&lt;&gt;0,'CHUNG TU'!J228,"")</f>
      </c>
      <c r="M237" s="192">
        <f>IF(LEFT('CHUNG TU'!J228,3)='CPSXKD 622'!$H$7,'CHUNG TU'!$L228,0)</f>
        <v>0</v>
      </c>
      <c r="N237" s="192">
        <f>IF(M237&lt;&gt;0,'CHUNG TU'!I228,"")</f>
      </c>
    </row>
    <row r="238" spans="2:14" ht="12.75">
      <c r="B238" s="192">
        <f>IF($F238+$M238&lt;&gt;0,'CHUNG TU'!A229,"")</f>
      </c>
      <c r="C238" s="192">
        <f>IF($F238+$M238&lt;&gt;0,IF('CHUNG TU'!B229&lt;&gt;"",'CHUNG TU'!B229,IF('CHUNG TU'!C229&lt;&gt;"",'CHUNG TU'!C229,'CHUNG TU'!D229)),"")</f>
      </c>
      <c r="D238" s="192">
        <f>IF($F238+$M238&lt;&gt;0,'CHUNG TU'!F229,"")</f>
      </c>
      <c r="E238" s="192">
        <f>IF($F238+$M238&lt;&gt;0,'CHUNG TU'!H229,"")</f>
      </c>
      <c r="F238" s="192">
        <f>IF(LEFT('CHUNG TU'!I229,3)='CPSXKD 622'!$H$7,'CHUNG TU'!$L229,0)</f>
        <v>0</v>
      </c>
      <c r="G238" s="192">
        <f>IF(AND($F238&lt;&gt;0,LEFT('CHUNG TU'!$J229,LEN('CPSXKD 622'!G$10))='CPSXKD 622'!G$10),'CPSXKD 622'!$F238,0)</f>
        <v>0</v>
      </c>
      <c r="H238" s="192">
        <f>IF(AND($F238&lt;&gt;0,LEFT('CHUNG TU'!$J229,LEN('CPSXKD 622'!H$10))='CPSXKD 622'!H$10),'CPSXKD 622'!$F238,0)</f>
        <v>0</v>
      </c>
      <c r="I238" s="192">
        <f>IF(AND($F238&lt;&gt;0,LEFT('CHUNG TU'!$J229,LEN('CPSXKD 622'!I$10))='CPSXKD 622'!I$10),'CPSXKD 622'!$F238,0)</f>
        <v>0</v>
      </c>
      <c r="J238" s="192">
        <f>IF(AND($F238&lt;&gt;0,LEFT('CHUNG TU'!$J229,LEN('CPSXKD 622'!J$10))='CPSXKD 622'!J$10),'CPSXKD 622'!$F238,0)</f>
        <v>0</v>
      </c>
      <c r="K238" s="192">
        <f t="shared" si="4"/>
        <v>0</v>
      </c>
      <c r="L238" s="201">
        <f>IF(F238&lt;&gt;0,'CHUNG TU'!J229,"")</f>
      </c>
      <c r="M238" s="192">
        <f>IF(LEFT('CHUNG TU'!J229,3)='CPSXKD 622'!$H$7,'CHUNG TU'!$L229,0)</f>
        <v>0</v>
      </c>
      <c r="N238" s="192">
        <f>IF(M238&lt;&gt;0,'CHUNG TU'!I229,"")</f>
      </c>
    </row>
    <row r="239" spans="2:14" ht="12.75">
      <c r="B239" s="192">
        <f>IF($F239+$M239&lt;&gt;0,'CHUNG TU'!A230,"")</f>
      </c>
      <c r="C239" s="192">
        <f>IF($F239+$M239&lt;&gt;0,IF('CHUNG TU'!B230&lt;&gt;"",'CHUNG TU'!B230,IF('CHUNG TU'!C230&lt;&gt;"",'CHUNG TU'!C230,'CHUNG TU'!D230)),"")</f>
      </c>
      <c r="D239" s="192">
        <f>IF($F239+$M239&lt;&gt;0,'CHUNG TU'!F230,"")</f>
      </c>
      <c r="E239" s="192">
        <f>IF($F239+$M239&lt;&gt;0,'CHUNG TU'!H230,"")</f>
      </c>
      <c r="F239" s="192">
        <f>IF(LEFT('CHUNG TU'!I230,3)='CPSXKD 622'!$H$7,'CHUNG TU'!$L230,0)</f>
        <v>0</v>
      </c>
      <c r="G239" s="192">
        <f>IF(AND($F239&lt;&gt;0,LEFT('CHUNG TU'!$J230,LEN('CPSXKD 622'!G$10))='CPSXKD 622'!G$10),'CPSXKD 622'!$F239,0)</f>
        <v>0</v>
      </c>
      <c r="H239" s="192">
        <f>IF(AND($F239&lt;&gt;0,LEFT('CHUNG TU'!$J230,LEN('CPSXKD 622'!H$10))='CPSXKD 622'!H$10),'CPSXKD 622'!$F239,0)</f>
        <v>0</v>
      </c>
      <c r="I239" s="192">
        <f>IF(AND($F239&lt;&gt;0,LEFT('CHUNG TU'!$J230,LEN('CPSXKD 622'!I$10))='CPSXKD 622'!I$10),'CPSXKD 622'!$F239,0)</f>
        <v>0</v>
      </c>
      <c r="J239" s="192">
        <f>IF(AND($F239&lt;&gt;0,LEFT('CHUNG TU'!$J230,LEN('CPSXKD 622'!J$10))='CPSXKD 622'!J$10),'CPSXKD 622'!$F239,0)</f>
        <v>0</v>
      </c>
      <c r="K239" s="192">
        <f t="shared" si="4"/>
        <v>0</v>
      </c>
      <c r="L239" s="201">
        <f>IF(F239&lt;&gt;0,'CHUNG TU'!J230,"")</f>
      </c>
      <c r="M239" s="192">
        <f>IF(LEFT('CHUNG TU'!J230,3)='CPSXKD 622'!$H$7,'CHUNG TU'!$L230,0)</f>
        <v>0</v>
      </c>
      <c r="N239" s="192">
        <f>IF(M239&lt;&gt;0,'CHUNG TU'!I230,"")</f>
      </c>
    </row>
    <row r="240" spans="2:14" ht="12.75">
      <c r="B240" s="192">
        <f>IF($F240+$M240&lt;&gt;0,'CHUNG TU'!A231,"")</f>
      </c>
      <c r="C240" s="192">
        <f>IF($F240+$M240&lt;&gt;0,IF('CHUNG TU'!B231&lt;&gt;"",'CHUNG TU'!B231,IF('CHUNG TU'!C231&lt;&gt;"",'CHUNG TU'!C231,'CHUNG TU'!D231)),"")</f>
      </c>
      <c r="D240" s="192">
        <f>IF($F240+$M240&lt;&gt;0,'CHUNG TU'!F231,"")</f>
      </c>
      <c r="E240" s="192">
        <f>IF($F240+$M240&lt;&gt;0,'CHUNG TU'!H231,"")</f>
      </c>
      <c r="F240" s="192">
        <f>IF(LEFT('CHUNG TU'!I231,3)='CPSXKD 622'!$H$7,'CHUNG TU'!$L231,0)</f>
        <v>0</v>
      </c>
      <c r="G240" s="192">
        <f>IF(AND($F240&lt;&gt;0,LEFT('CHUNG TU'!$J231,LEN('CPSXKD 622'!G$10))='CPSXKD 622'!G$10),'CPSXKD 622'!$F240,0)</f>
        <v>0</v>
      </c>
      <c r="H240" s="192">
        <f>IF(AND($F240&lt;&gt;0,LEFT('CHUNG TU'!$J231,LEN('CPSXKD 622'!H$10))='CPSXKD 622'!H$10),'CPSXKD 622'!$F240,0)</f>
        <v>0</v>
      </c>
      <c r="I240" s="192">
        <f>IF(AND($F240&lt;&gt;0,LEFT('CHUNG TU'!$J231,LEN('CPSXKD 622'!I$10))='CPSXKD 622'!I$10),'CPSXKD 622'!$F240,0)</f>
        <v>0</v>
      </c>
      <c r="J240" s="192">
        <f>IF(AND($F240&lt;&gt;0,LEFT('CHUNG TU'!$J231,LEN('CPSXKD 622'!J$10))='CPSXKD 622'!J$10),'CPSXKD 622'!$F240,0)</f>
        <v>0</v>
      </c>
      <c r="K240" s="192">
        <f t="shared" si="4"/>
        <v>0</v>
      </c>
      <c r="L240" s="201">
        <f>IF(F240&lt;&gt;0,'CHUNG TU'!J231,"")</f>
      </c>
      <c r="M240" s="192">
        <f>IF(LEFT('CHUNG TU'!J231,3)='CPSXKD 622'!$H$7,'CHUNG TU'!$L231,0)</f>
        <v>0</v>
      </c>
      <c r="N240" s="192">
        <f>IF(M240&lt;&gt;0,'CHUNG TU'!I231,"")</f>
      </c>
    </row>
    <row r="241" spans="2:14" ht="12.75">
      <c r="B241" s="192">
        <f>IF($F241+$M241&lt;&gt;0,'CHUNG TU'!A232,"")</f>
      </c>
      <c r="C241" s="192">
        <f>IF($F241+$M241&lt;&gt;0,IF('CHUNG TU'!B232&lt;&gt;"",'CHUNG TU'!B232,IF('CHUNG TU'!C232&lt;&gt;"",'CHUNG TU'!C232,'CHUNG TU'!D232)),"")</f>
      </c>
      <c r="D241" s="192">
        <f>IF($F241+$M241&lt;&gt;0,'CHUNG TU'!F232,"")</f>
      </c>
      <c r="E241" s="192">
        <f>IF($F241+$M241&lt;&gt;0,'CHUNG TU'!H232,"")</f>
      </c>
      <c r="F241" s="192">
        <f>IF(LEFT('CHUNG TU'!I232,3)='CPSXKD 622'!$H$7,'CHUNG TU'!$L232,0)</f>
        <v>0</v>
      </c>
      <c r="G241" s="192">
        <f>IF(AND($F241&lt;&gt;0,LEFT('CHUNG TU'!$J232,LEN('CPSXKD 622'!G$10))='CPSXKD 622'!G$10),'CPSXKD 622'!$F241,0)</f>
        <v>0</v>
      </c>
      <c r="H241" s="192">
        <f>IF(AND($F241&lt;&gt;0,LEFT('CHUNG TU'!$J232,LEN('CPSXKD 622'!H$10))='CPSXKD 622'!H$10),'CPSXKD 622'!$F241,0)</f>
        <v>0</v>
      </c>
      <c r="I241" s="192">
        <f>IF(AND($F241&lt;&gt;0,LEFT('CHUNG TU'!$J232,LEN('CPSXKD 622'!I$10))='CPSXKD 622'!I$10),'CPSXKD 622'!$F241,0)</f>
        <v>0</v>
      </c>
      <c r="J241" s="192">
        <f>IF(AND($F241&lt;&gt;0,LEFT('CHUNG TU'!$J232,LEN('CPSXKD 622'!J$10))='CPSXKD 622'!J$10),'CPSXKD 622'!$F241,0)</f>
        <v>0</v>
      </c>
      <c r="K241" s="192">
        <f t="shared" si="4"/>
        <v>0</v>
      </c>
      <c r="L241" s="201">
        <f>IF(F241&lt;&gt;0,'CHUNG TU'!J232,"")</f>
      </c>
      <c r="M241" s="192">
        <f>IF(LEFT('CHUNG TU'!J232,3)='CPSXKD 622'!$H$7,'CHUNG TU'!$L232,0)</f>
        <v>0</v>
      </c>
      <c r="N241" s="192">
        <f>IF(M241&lt;&gt;0,'CHUNG TU'!I232,"")</f>
      </c>
    </row>
    <row r="242" spans="2:14" ht="12.75">
      <c r="B242" s="192">
        <f>IF($F242+$M242&lt;&gt;0,'CHUNG TU'!A233,"")</f>
      </c>
      <c r="C242" s="192">
        <f>IF($F242+$M242&lt;&gt;0,IF('CHUNG TU'!B233&lt;&gt;"",'CHUNG TU'!B233,IF('CHUNG TU'!C233&lt;&gt;"",'CHUNG TU'!C233,'CHUNG TU'!D233)),"")</f>
      </c>
      <c r="D242" s="192">
        <f>IF($F242+$M242&lt;&gt;0,'CHUNG TU'!F233,"")</f>
      </c>
      <c r="E242" s="192">
        <f>IF($F242+$M242&lt;&gt;0,'CHUNG TU'!H233,"")</f>
      </c>
      <c r="F242" s="192">
        <f>IF(LEFT('CHUNG TU'!I233,3)='CPSXKD 622'!$H$7,'CHUNG TU'!$L233,0)</f>
        <v>0</v>
      </c>
      <c r="G242" s="192">
        <f>IF(AND($F242&lt;&gt;0,LEFT('CHUNG TU'!$J233,LEN('CPSXKD 622'!G$10))='CPSXKD 622'!G$10),'CPSXKD 622'!$F242,0)</f>
        <v>0</v>
      </c>
      <c r="H242" s="192">
        <f>IF(AND($F242&lt;&gt;0,LEFT('CHUNG TU'!$J233,LEN('CPSXKD 622'!H$10))='CPSXKD 622'!H$10),'CPSXKD 622'!$F242,0)</f>
        <v>0</v>
      </c>
      <c r="I242" s="192">
        <f>IF(AND($F242&lt;&gt;0,LEFT('CHUNG TU'!$J233,LEN('CPSXKD 622'!I$10))='CPSXKD 622'!I$10),'CPSXKD 622'!$F242,0)</f>
        <v>0</v>
      </c>
      <c r="J242" s="192">
        <f>IF(AND($F242&lt;&gt;0,LEFT('CHUNG TU'!$J233,LEN('CPSXKD 622'!J$10))='CPSXKD 622'!J$10),'CPSXKD 622'!$F242,0)</f>
        <v>0</v>
      </c>
      <c r="K242" s="192">
        <f t="shared" si="4"/>
        <v>0</v>
      </c>
      <c r="L242" s="201">
        <f>IF(F242&lt;&gt;0,'CHUNG TU'!J233,"")</f>
      </c>
      <c r="M242" s="192">
        <f>IF(LEFT('CHUNG TU'!J233,3)='CPSXKD 622'!$H$7,'CHUNG TU'!$L233,0)</f>
        <v>0</v>
      </c>
      <c r="N242" s="192">
        <f>IF(M242&lt;&gt;0,'CHUNG TU'!I233,"")</f>
      </c>
    </row>
    <row r="243" spans="2:14" ht="12.75">
      <c r="B243" s="192">
        <f>IF($F243+$M243&lt;&gt;0,'CHUNG TU'!A234,"")</f>
      </c>
      <c r="C243" s="192">
        <f>IF($F243+$M243&lt;&gt;0,IF('CHUNG TU'!B234&lt;&gt;"",'CHUNG TU'!B234,IF('CHUNG TU'!C234&lt;&gt;"",'CHUNG TU'!C234,'CHUNG TU'!D234)),"")</f>
      </c>
      <c r="D243" s="192">
        <f>IF($F243+$M243&lt;&gt;0,'CHUNG TU'!F234,"")</f>
      </c>
      <c r="E243" s="192">
        <f>IF($F243+$M243&lt;&gt;0,'CHUNG TU'!H234,"")</f>
      </c>
      <c r="F243" s="192">
        <f>IF(LEFT('CHUNG TU'!I234,3)='CPSXKD 622'!$H$7,'CHUNG TU'!$L234,0)</f>
        <v>0</v>
      </c>
      <c r="G243" s="192">
        <f>IF(AND($F243&lt;&gt;0,LEFT('CHUNG TU'!$J234,LEN('CPSXKD 622'!G$10))='CPSXKD 622'!G$10),'CPSXKD 622'!$F243,0)</f>
        <v>0</v>
      </c>
      <c r="H243" s="192">
        <f>IF(AND($F243&lt;&gt;0,LEFT('CHUNG TU'!$J234,LEN('CPSXKD 622'!H$10))='CPSXKD 622'!H$10),'CPSXKD 622'!$F243,0)</f>
        <v>0</v>
      </c>
      <c r="I243" s="192">
        <f>IF(AND($F243&lt;&gt;0,LEFT('CHUNG TU'!$J234,LEN('CPSXKD 622'!I$10))='CPSXKD 622'!I$10),'CPSXKD 622'!$F243,0)</f>
        <v>0</v>
      </c>
      <c r="J243" s="192">
        <f>IF(AND($F243&lt;&gt;0,LEFT('CHUNG TU'!$J234,LEN('CPSXKD 622'!J$10))='CPSXKD 622'!J$10),'CPSXKD 622'!$F243,0)</f>
        <v>0</v>
      </c>
      <c r="K243" s="192">
        <f t="shared" si="4"/>
        <v>0</v>
      </c>
      <c r="L243" s="201">
        <f>IF(F243&lt;&gt;0,'CHUNG TU'!J234,"")</f>
      </c>
      <c r="M243" s="192">
        <f>IF(LEFT('CHUNG TU'!J234,3)='CPSXKD 622'!$H$7,'CHUNG TU'!$L234,0)</f>
        <v>0</v>
      </c>
      <c r="N243" s="192">
        <f>IF(M243&lt;&gt;0,'CHUNG TU'!I234,"")</f>
      </c>
    </row>
    <row r="244" spans="2:14" ht="12.75">
      <c r="B244" s="192" t="str">
        <f>IF($F244+$M244&lt;&gt;0,'CHUNG TU'!A235,"")</f>
        <v>30/10/2020</v>
      </c>
      <c r="C244" s="192" t="str">
        <f>IF($F244+$M244&lt;&gt;0,IF('CHUNG TU'!B235&lt;&gt;"",'CHUNG TU'!B235,IF('CHUNG TU'!C235&lt;&gt;"",'CHUNG TU'!C235,'CHUNG TU'!D235)),"")</f>
        <v>PKT10/089</v>
      </c>
      <c r="D244" s="192" t="str">
        <f>IF($F244+$M244&lt;&gt;0,'CHUNG TU'!F235,"")</f>
        <v>30/10/2020</v>
      </c>
      <c r="E244" s="192" t="str">
        <f>IF($F244+$M244&lt;&gt;0,'CHUNG TU'!H235,"")</f>
        <v>Tiền lương phải trả cho CBCNV trong kỳ</v>
      </c>
      <c r="F244" s="192">
        <f>IF(LEFT('CHUNG TU'!I235,3)='CPSXKD 622'!$H$7,'CHUNG TU'!$L235,0)</f>
        <v>56296666.666666664</v>
      </c>
      <c r="G244" s="192">
        <f>IF(AND($F244&lt;&gt;0,LEFT('CHUNG TU'!$J235,LEN('CPSXKD 622'!G$10))='CPSXKD 622'!G$10),'CPSXKD 622'!$F244,0)</f>
        <v>56296666.666666664</v>
      </c>
      <c r="H244" s="192">
        <f>IF(AND($F244&lt;&gt;0,LEFT('CHUNG TU'!$J235,LEN('CPSXKD 622'!H$10))='CPSXKD 622'!H$10),'CPSXKD 622'!$F244,0)</f>
        <v>0</v>
      </c>
      <c r="I244" s="192">
        <f>IF(AND($F244&lt;&gt;0,LEFT('CHUNG TU'!$J235,LEN('CPSXKD 622'!I$10))='CPSXKD 622'!I$10),'CPSXKD 622'!$F244,0)</f>
        <v>0</v>
      </c>
      <c r="J244" s="192">
        <f>IF(AND($F244&lt;&gt;0,LEFT('CHUNG TU'!$J235,LEN('CPSXKD 622'!J$10))='CPSXKD 622'!J$10),'CPSXKD 622'!$F244,0)</f>
        <v>0</v>
      </c>
      <c r="K244" s="192">
        <f t="shared" si="4"/>
        <v>0</v>
      </c>
      <c r="L244" s="201" t="str">
        <f>IF(F244&lt;&gt;0,'CHUNG TU'!J235,"")</f>
        <v>3341</v>
      </c>
      <c r="M244" s="192">
        <f>IF(LEFT('CHUNG TU'!J235,3)='CPSXKD 622'!$H$7,'CHUNG TU'!$L235,0)</f>
        <v>0</v>
      </c>
      <c r="N244" s="192">
        <f>IF(M244&lt;&gt;0,'CHUNG TU'!I235,"")</f>
      </c>
    </row>
    <row r="245" spans="2:14" ht="12.75">
      <c r="B245" s="192" t="str">
        <f>IF($F245+$M245&lt;&gt;0,'CHUNG TU'!A236,"")</f>
        <v>30/10/2020</v>
      </c>
      <c r="C245" s="192" t="str">
        <f>IF($F245+$M245&lt;&gt;0,IF('CHUNG TU'!B236&lt;&gt;"",'CHUNG TU'!B236,IF('CHUNG TU'!C236&lt;&gt;"",'CHUNG TU'!C236,'CHUNG TU'!D236)),"")</f>
        <v>PKT10/089</v>
      </c>
      <c r="D245" s="192" t="str">
        <f>IF($F245+$M245&lt;&gt;0,'CHUNG TU'!F236,"")</f>
        <v>30/10/2020</v>
      </c>
      <c r="E245" s="192" t="str">
        <f>IF($F245+$M245&lt;&gt;0,'CHUNG TU'!H236,"")</f>
        <v>Tiền lương phải trả cho CBCNV trong kỳ</v>
      </c>
      <c r="F245" s="192">
        <f>IF(LEFT('CHUNG TU'!I236,3)='CPSXKD 622'!$H$7,'CHUNG TU'!$L236,0)</f>
        <v>74864444.44444445</v>
      </c>
      <c r="G245" s="192">
        <f>IF(AND($F245&lt;&gt;0,LEFT('CHUNG TU'!$J236,LEN('CPSXKD 622'!G$10))='CPSXKD 622'!G$10),'CPSXKD 622'!$F245,0)</f>
        <v>74864444.44444445</v>
      </c>
      <c r="H245" s="192">
        <f>IF(AND($F245&lt;&gt;0,LEFT('CHUNG TU'!$J236,LEN('CPSXKD 622'!H$10))='CPSXKD 622'!H$10),'CPSXKD 622'!$F245,0)</f>
        <v>0</v>
      </c>
      <c r="I245" s="192">
        <f>IF(AND($F245&lt;&gt;0,LEFT('CHUNG TU'!$J236,LEN('CPSXKD 622'!I$10))='CPSXKD 622'!I$10),'CPSXKD 622'!$F245,0)</f>
        <v>0</v>
      </c>
      <c r="J245" s="192">
        <f>IF(AND($F245&lt;&gt;0,LEFT('CHUNG TU'!$J236,LEN('CPSXKD 622'!J$10))='CPSXKD 622'!J$10),'CPSXKD 622'!$F245,0)</f>
        <v>0</v>
      </c>
      <c r="K245" s="192">
        <f t="shared" si="4"/>
        <v>0</v>
      </c>
      <c r="L245" s="201" t="str">
        <f>IF(F245&lt;&gt;0,'CHUNG TU'!J236,"")</f>
        <v>3341</v>
      </c>
      <c r="M245" s="192">
        <f>IF(LEFT('CHUNG TU'!J236,3)='CPSXKD 622'!$H$7,'CHUNG TU'!$L236,0)</f>
        <v>0</v>
      </c>
      <c r="N245" s="192">
        <f>IF(M245&lt;&gt;0,'CHUNG TU'!I236,"")</f>
      </c>
    </row>
    <row r="246" spans="2:14" ht="12.75">
      <c r="B246" s="192" t="str">
        <f>IF($F246+$M246&lt;&gt;0,'CHUNG TU'!A237,"")</f>
        <v>30/10/2020</v>
      </c>
      <c r="C246" s="192" t="str">
        <f>IF($F246+$M246&lt;&gt;0,IF('CHUNG TU'!B237&lt;&gt;"",'CHUNG TU'!B237,IF('CHUNG TU'!C237&lt;&gt;"",'CHUNG TU'!C237,'CHUNG TU'!D237)),"")</f>
        <v>PKT10/089</v>
      </c>
      <c r="D246" s="192" t="str">
        <f>IF($F246+$M246&lt;&gt;0,'CHUNG TU'!F237,"")</f>
        <v>30/10/2020</v>
      </c>
      <c r="E246" s="192" t="str">
        <f>IF($F246+$M246&lt;&gt;0,'CHUNG TU'!H237,"")</f>
        <v>Tiền lương phải trả cho CBCNV trong kỳ</v>
      </c>
      <c r="F246" s="192">
        <f>IF(LEFT('CHUNG TU'!I237,3)='CPSXKD 622'!$H$7,'CHUNG TU'!$L237,0)</f>
        <v>27066666.666666664</v>
      </c>
      <c r="G246" s="192">
        <f>IF(AND($F246&lt;&gt;0,LEFT('CHUNG TU'!$J237,LEN('CPSXKD 622'!G$10))='CPSXKD 622'!G$10),'CPSXKD 622'!$F246,0)</f>
        <v>27066666.666666664</v>
      </c>
      <c r="H246" s="192">
        <f>IF(AND($F246&lt;&gt;0,LEFT('CHUNG TU'!$J237,LEN('CPSXKD 622'!H$10))='CPSXKD 622'!H$10),'CPSXKD 622'!$F246,0)</f>
        <v>0</v>
      </c>
      <c r="I246" s="192">
        <f>IF(AND($F246&lt;&gt;0,LEFT('CHUNG TU'!$J237,LEN('CPSXKD 622'!I$10))='CPSXKD 622'!I$10),'CPSXKD 622'!$F246,0)</f>
        <v>0</v>
      </c>
      <c r="J246" s="192">
        <f>IF(AND($F246&lt;&gt;0,LEFT('CHUNG TU'!$J237,LEN('CPSXKD 622'!J$10))='CPSXKD 622'!J$10),'CPSXKD 622'!$F246,0)</f>
        <v>0</v>
      </c>
      <c r="K246" s="192">
        <f t="shared" si="4"/>
        <v>0</v>
      </c>
      <c r="L246" s="201" t="str">
        <f>IF(F246&lt;&gt;0,'CHUNG TU'!J237,"")</f>
        <v>3341</v>
      </c>
      <c r="M246" s="192">
        <f>IF(LEFT('CHUNG TU'!J237,3)='CPSXKD 622'!$H$7,'CHUNG TU'!$L237,0)</f>
        <v>0</v>
      </c>
      <c r="N246" s="192">
        <f>IF(M246&lt;&gt;0,'CHUNG TU'!I237,"")</f>
      </c>
    </row>
    <row r="247" spans="2:14" ht="12.75">
      <c r="B247" s="192">
        <f>IF($F247+$M247&lt;&gt;0,'CHUNG TU'!A238,"")</f>
      </c>
      <c r="C247" s="192">
        <f>IF($F247+$M247&lt;&gt;0,IF('CHUNG TU'!B238&lt;&gt;"",'CHUNG TU'!B238,IF('CHUNG TU'!C238&lt;&gt;"",'CHUNG TU'!C238,'CHUNG TU'!D238)),"")</f>
      </c>
      <c r="D247" s="192">
        <f>IF($F247+$M247&lt;&gt;0,'CHUNG TU'!F238,"")</f>
      </c>
      <c r="E247" s="192">
        <f>IF($F247+$M247&lt;&gt;0,'CHUNG TU'!H238,"")</f>
      </c>
      <c r="F247" s="192">
        <f>IF(LEFT('CHUNG TU'!I238,3)='CPSXKD 622'!$H$7,'CHUNG TU'!$L238,0)</f>
        <v>0</v>
      </c>
      <c r="G247" s="192">
        <f>IF(AND($F247&lt;&gt;0,LEFT('CHUNG TU'!$J238,LEN('CPSXKD 622'!G$10))='CPSXKD 622'!G$10),'CPSXKD 622'!$F247,0)</f>
        <v>0</v>
      </c>
      <c r="H247" s="192">
        <f>IF(AND($F247&lt;&gt;0,LEFT('CHUNG TU'!$J238,LEN('CPSXKD 622'!H$10))='CPSXKD 622'!H$10),'CPSXKD 622'!$F247,0)</f>
        <v>0</v>
      </c>
      <c r="I247" s="192">
        <f>IF(AND($F247&lt;&gt;0,LEFT('CHUNG TU'!$J238,LEN('CPSXKD 622'!I$10))='CPSXKD 622'!I$10),'CPSXKD 622'!$F247,0)</f>
        <v>0</v>
      </c>
      <c r="J247" s="192">
        <f>IF(AND($F247&lt;&gt;0,LEFT('CHUNG TU'!$J238,LEN('CPSXKD 622'!J$10))='CPSXKD 622'!J$10),'CPSXKD 622'!$F247,0)</f>
        <v>0</v>
      </c>
      <c r="K247" s="192">
        <f t="shared" si="4"/>
        <v>0</v>
      </c>
      <c r="L247" s="201">
        <f>IF(F247&lt;&gt;0,'CHUNG TU'!J238,"")</f>
      </c>
      <c r="M247" s="192">
        <f>IF(LEFT('CHUNG TU'!J238,3)='CPSXKD 622'!$H$7,'CHUNG TU'!$L238,0)</f>
        <v>0</v>
      </c>
      <c r="N247" s="192">
        <f>IF(M247&lt;&gt;0,'CHUNG TU'!I238,"")</f>
      </c>
    </row>
    <row r="248" spans="2:14" ht="12.75">
      <c r="B248" s="192">
        <f>IF($F248+$M248&lt;&gt;0,'CHUNG TU'!A239,"")</f>
      </c>
      <c r="C248" s="192">
        <f>IF($F248+$M248&lt;&gt;0,IF('CHUNG TU'!B239&lt;&gt;"",'CHUNG TU'!B239,IF('CHUNG TU'!C239&lt;&gt;"",'CHUNG TU'!C239,'CHUNG TU'!D239)),"")</f>
      </c>
      <c r="D248" s="192">
        <f>IF($F248+$M248&lt;&gt;0,'CHUNG TU'!F239,"")</f>
      </c>
      <c r="E248" s="192">
        <f>IF($F248+$M248&lt;&gt;0,'CHUNG TU'!H239,"")</f>
      </c>
      <c r="F248" s="192">
        <f>IF(LEFT('CHUNG TU'!I239,3)='CPSXKD 622'!$H$7,'CHUNG TU'!$L239,0)</f>
        <v>0</v>
      </c>
      <c r="G248" s="192">
        <f>IF(AND($F248&lt;&gt;0,LEFT('CHUNG TU'!$J239,LEN('CPSXKD 622'!G$10))='CPSXKD 622'!G$10),'CPSXKD 622'!$F248,0)</f>
        <v>0</v>
      </c>
      <c r="H248" s="192">
        <f>IF(AND($F248&lt;&gt;0,LEFT('CHUNG TU'!$J239,LEN('CPSXKD 622'!H$10))='CPSXKD 622'!H$10),'CPSXKD 622'!$F248,0)</f>
        <v>0</v>
      </c>
      <c r="I248" s="192">
        <f>IF(AND($F248&lt;&gt;0,LEFT('CHUNG TU'!$J239,LEN('CPSXKD 622'!I$10))='CPSXKD 622'!I$10),'CPSXKD 622'!$F248,0)</f>
        <v>0</v>
      </c>
      <c r="J248" s="192">
        <f>IF(AND($F248&lt;&gt;0,LEFT('CHUNG TU'!$J239,LEN('CPSXKD 622'!J$10))='CPSXKD 622'!J$10),'CPSXKD 622'!$F248,0)</f>
        <v>0</v>
      </c>
      <c r="K248" s="192">
        <f t="shared" si="4"/>
        <v>0</v>
      </c>
      <c r="L248" s="201">
        <f>IF(F248&lt;&gt;0,'CHUNG TU'!J239,"")</f>
      </c>
      <c r="M248" s="192">
        <f>IF(LEFT('CHUNG TU'!J239,3)='CPSXKD 622'!$H$7,'CHUNG TU'!$L239,0)</f>
        <v>0</v>
      </c>
      <c r="N248" s="192">
        <f>IF(M248&lt;&gt;0,'CHUNG TU'!I239,"")</f>
      </c>
    </row>
    <row r="249" spans="2:14" ht="12.75">
      <c r="B249" s="192">
        <f>IF($F249+$M249&lt;&gt;0,'CHUNG TU'!A240,"")</f>
      </c>
      <c r="C249" s="192">
        <f>IF($F249+$M249&lt;&gt;0,IF('CHUNG TU'!B240&lt;&gt;"",'CHUNG TU'!B240,IF('CHUNG TU'!C240&lt;&gt;"",'CHUNG TU'!C240,'CHUNG TU'!D240)),"")</f>
      </c>
      <c r="D249" s="192">
        <f>IF($F249+$M249&lt;&gt;0,'CHUNG TU'!F240,"")</f>
      </c>
      <c r="E249" s="192">
        <f>IF($F249+$M249&lt;&gt;0,'CHUNG TU'!H240,"")</f>
      </c>
      <c r="F249" s="192">
        <f>IF(LEFT('CHUNG TU'!I240,3)='CPSXKD 622'!$H$7,'CHUNG TU'!$L240,0)</f>
        <v>0</v>
      </c>
      <c r="G249" s="192">
        <f>IF(AND($F249&lt;&gt;0,LEFT('CHUNG TU'!$J240,LEN('CPSXKD 622'!G$10))='CPSXKD 622'!G$10),'CPSXKD 622'!$F249,0)</f>
        <v>0</v>
      </c>
      <c r="H249" s="192">
        <f>IF(AND($F249&lt;&gt;0,LEFT('CHUNG TU'!$J240,LEN('CPSXKD 622'!H$10))='CPSXKD 622'!H$10),'CPSXKD 622'!$F249,0)</f>
        <v>0</v>
      </c>
      <c r="I249" s="192">
        <f>IF(AND($F249&lt;&gt;0,LEFT('CHUNG TU'!$J240,LEN('CPSXKD 622'!I$10))='CPSXKD 622'!I$10),'CPSXKD 622'!$F249,0)</f>
        <v>0</v>
      </c>
      <c r="J249" s="192">
        <f>IF(AND($F249&lt;&gt;0,LEFT('CHUNG TU'!$J240,LEN('CPSXKD 622'!J$10))='CPSXKD 622'!J$10),'CPSXKD 622'!$F249,0)</f>
        <v>0</v>
      </c>
      <c r="K249" s="192">
        <f t="shared" si="4"/>
        <v>0</v>
      </c>
      <c r="L249" s="201">
        <f>IF(F249&lt;&gt;0,'CHUNG TU'!J240,"")</f>
      </c>
      <c r="M249" s="192">
        <f>IF(LEFT('CHUNG TU'!J240,3)='CPSXKD 622'!$H$7,'CHUNG TU'!$L240,0)</f>
        <v>0</v>
      </c>
      <c r="N249" s="192">
        <f>IF(M249&lt;&gt;0,'CHUNG TU'!I240,"")</f>
      </c>
    </row>
    <row r="250" spans="2:14" ht="12.75">
      <c r="B250" s="192">
        <f>IF($F250+$M250&lt;&gt;0,'CHUNG TU'!A241,"")</f>
      </c>
      <c r="C250" s="192">
        <f>IF($F250+$M250&lt;&gt;0,IF('CHUNG TU'!B241&lt;&gt;"",'CHUNG TU'!B241,IF('CHUNG TU'!C241&lt;&gt;"",'CHUNG TU'!C241,'CHUNG TU'!D241)),"")</f>
      </c>
      <c r="D250" s="192">
        <f>IF($F250+$M250&lt;&gt;0,'CHUNG TU'!F241,"")</f>
      </c>
      <c r="E250" s="192">
        <f>IF($F250+$M250&lt;&gt;0,'CHUNG TU'!H241,"")</f>
      </c>
      <c r="F250" s="192">
        <f>IF(LEFT('CHUNG TU'!I241,3)='CPSXKD 622'!$H$7,'CHUNG TU'!$L241,0)</f>
        <v>0</v>
      </c>
      <c r="G250" s="192">
        <f>IF(AND($F250&lt;&gt;0,LEFT('CHUNG TU'!$J241,LEN('CPSXKD 622'!G$10))='CPSXKD 622'!G$10),'CPSXKD 622'!$F250,0)</f>
        <v>0</v>
      </c>
      <c r="H250" s="192">
        <f>IF(AND($F250&lt;&gt;0,LEFT('CHUNG TU'!$J241,LEN('CPSXKD 622'!H$10))='CPSXKD 622'!H$10),'CPSXKD 622'!$F250,0)</f>
        <v>0</v>
      </c>
      <c r="I250" s="192">
        <f>IF(AND($F250&lt;&gt;0,LEFT('CHUNG TU'!$J241,LEN('CPSXKD 622'!I$10))='CPSXKD 622'!I$10),'CPSXKD 622'!$F250,0)</f>
        <v>0</v>
      </c>
      <c r="J250" s="192">
        <f>IF(AND($F250&lt;&gt;0,LEFT('CHUNG TU'!$J241,LEN('CPSXKD 622'!J$10))='CPSXKD 622'!J$10),'CPSXKD 622'!$F250,0)</f>
        <v>0</v>
      </c>
      <c r="K250" s="192">
        <f t="shared" si="4"/>
        <v>0</v>
      </c>
      <c r="L250" s="201">
        <f>IF(F250&lt;&gt;0,'CHUNG TU'!J241,"")</f>
      </c>
      <c r="M250" s="192">
        <f>IF(LEFT('CHUNG TU'!J241,3)='CPSXKD 622'!$H$7,'CHUNG TU'!$L241,0)</f>
        <v>0</v>
      </c>
      <c r="N250" s="192">
        <f>IF(M250&lt;&gt;0,'CHUNG TU'!I241,"")</f>
      </c>
    </row>
    <row r="251" spans="2:14" ht="12.75">
      <c r="B251" s="192">
        <f>IF($F251+$M251&lt;&gt;0,'CHUNG TU'!A242,"")</f>
      </c>
      <c r="C251" s="192">
        <f>IF($F251+$M251&lt;&gt;0,IF('CHUNG TU'!B242&lt;&gt;"",'CHUNG TU'!B242,IF('CHUNG TU'!C242&lt;&gt;"",'CHUNG TU'!C242,'CHUNG TU'!D242)),"")</f>
      </c>
      <c r="D251" s="192">
        <f>IF($F251+$M251&lt;&gt;0,'CHUNG TU'!F242,"")</f>
      </c>
      <c r="E251" s="192">
        <f>IF($F251+$M251&lt;&gt;0,'CHUNG TU'!H242,"")</f>
      </c>
      <c r="F251" s="192">
        <f>IF(LEFT('CHUNG TU'!I242,3)='CPSXKD 622'!$H$7,'CHUNG TU'!$L242,0)</f>
        <v>0</v>
      </c>
      <c r="G251" s="192">
        <f>IF(AND($F251&lt;&gt;0,LEFT('CHUNG TU'!$J242,LEN('CPSXKD 622'!G$10))='CPSXKD 622'!G$10),'CPSXKD 622'!$F251,0)</f>
        <v>0</v>
      </c>
      <c r="H251" s="192">
        <f>IF(AND($F251&lt;&gt;0,LEFT('CHUNG TU'!$J242,LEN('CPSXKD 622'!H$10))='CPSXKD 622'!H$10),'CPSXKD 622'!$F251,0)</f>
        <v>0</v>
      </c>
      <c r="I251" s="192">
        <f>IF(AND($F251&lt;&gt;0,LEFT('CHUNG TU'!$J242,LEN('CPSXKD 622'!I$10))='CPSXKD 622'!I$10),'CPSXKD 622'!$F251,0)</f>
        <v>0</v>
      </c>
      <c r="J251" s="192">
        <f>IF(AND($F251&lt;&gt;0,LEFT('CHUNG TU'!$J242,LEN('CPSXKD 622'!J$10))='CPSXKD 622'!J$10),'CPSXKD 622'!$F251,0)</f>
        <v>0</v>
      </c>
      <c r="K251" s="192">
        <f t="shared" si="4"/>
        <v>0</v>
      </c>
      <c r="L251" s="201">
        <f>IF(F251&lt;&gt;0,'CHUNG TU'!J242,"")</f>
      </c>
      <c r="M251" s="192">
        <f>IF(LEFT('CHUNG TU'!J242,3)='CPSXKD 622'!$H$7,'CHUNG TU'!$L242,0)</f>
        <v>0</v>
      </c>
      <c r="N251" s="192">
        <f>IF(M251&lt;&gt;0,'CHUNG TU'!I242,"")</f>
      </c>
    </row>
    <row r="252" spans="2:14" ht="12.75">
      <c r="B252" s="192">
        <f>IF($F252+$M252&lt;&gt;0,'CHUNG TU'!A243,"")</f>
      </c>
      <c r="C252" s="192">
        <f>IF($F252+$M252&lt;&gt;0,IF('CHUNG TU'!B243&lt;&gt;"",'CHUNG TU'!B243,IF('CHUNG TU'!C243&lt;&gt;"",'CHUNG TU'!C243,'CHUNG TU'!D243)),"")</f>
      </c>
      <c r="D252" s="192">
        <f>IF($F252+$M252&lt;&gt;0,'CHUNG TU'!F243,"")</f>
      </c>
      <c r="E252" s="192">
        <f>IF($F252+$M252&lt;&gt;0,'CHUNG TU'!H243,"")</f>
      </c>
      <c r="F252" s="192">
        <f>IF(LEFT('CHUNG TU'!I243,3)='CPSXKD 622'!$H$7,'CHUNG TU'!$L243,0)</f>
        <v>0</v>
      </c>
      <c r="G252" s="192">
        <f>IF(AND($F252&lt;&gt;0,LEFT('CHUNG TU'!$J243,LEN('CPSXKD 622'!G$10))='CPSXKD 622'!G$10),'CPSXKD 622'!$F252,0)</f>
        <v>0</v>
      </c>
      <c r="H252" s="192">
        <f>IF(AND($F252&lt;&gt;0,LEFT('CHUNG TU'!$J243,LEN('CPSXKD 622'!H$10))='CPSXKD 622'!H$10),'CPSXKD 622'!$F252,0)</f>
        <v>0</v>
      </c>
      <c r="I252" s="192">
        <f>IF(AND($F252&lt;&gt;0,LEFT('CHUNG TU'!$J243,LEN('CPSXKD 622'!I$10))='CPSXKD 622'!I$10),'CPSXKD 622'!$F252,0)</f>
        <v>0</v>
      </c>
      <c r="J252" s="192">
        <f>IF(AND($F252&lt;&gt;0,LEFT('CHUNG TU'!$J243,LEN('CPSXKD 622'!J$10))='CPSXKD 622'!J$10),'CPSXKD 622'!$F252,0)</f>
        <v>0</v>
      </c>
      <c r="K252" s="192">
        <f t="shared" si="4"/>
        <v>0</v>
      </c>
      <c r="L252" s="201">
        <f>IF(F252&lt;&gt;0,'CHUNG TU'!J243,"")</f>
      </c>
      <c r="M252" s="192">
        <f>IF(LEFT('CHUNG TU'!J243,3)='CPSXKD 622'!$H$7,'CHUNG TU'!$L243,0)</f>
        <v>0</v>
      </c>
      <c r="N252" s="192">
        <f>IF(M252&lt;&gt;0,'CHUNG TU'!I243,"")</f>
      </c>
    </row>
    <row r="253" spans="2:14" ht="12.75">
      <c r="B253" s="192" t="str">
        <f>IF($F253+$M253&lt;&gt;0,'CHUNG TU'!A244,"")</f>
        <v>30/10/2020</v>
      </c>
      <c r="C253" s="192" t="str">
        <f>IF($F253+$M253&lt;&gt;0,IF('CHUNG TU'!B244&lt;&gt;"",'CHUNG TU'!B244,IF('CHUNG TU'!C244&lt;&gt;"",'CHUNG TU'!C244,'CHUNG TU'!D244)),"")</f>
        <v>PKT10/092</v>
      </c>
      <c r="D253" s="192" t="str">
        <f>IF($F253+$M253&lt;&gt;0,'CHUNG TU'!F244,"")</f>
        <v>30/10/2020</v>
      </c>
      <c r="E253" s="192" t="str">
        <f>IF($F253+$M253&lt;&gt;0,'CHUNG TU'!H244,"")</f>
        <v>Trích KPCĐ của CNTTSX PX1.F01</v>
      </c>
      <c r="F253" s="192">
        <f>IF(LEFT('CHUNG TU'!I244,3)='CPSXKD 622'!$H$7,'CHUNG TU'!$L244,0)</f>
        <v>1002000</v>
      </c>
      <c r="G253" s="192">
        <f>IF(AND($F253&lt;&gt;0,LEFT('CHUNG TU'!$J244,LEN('CPSXKD 622'!G$10))='CPSXKD 622'!G$10),'CPSXKD 622'!$F253,0)</f>
        <v>0</v>
      </c>
      <c r="H253" s="192">
        <f>IF(AND($F253&lt;&gt;0,LEFT('CHUNG TU'!$J244,LEN('CPSXKD 622'!H$10))='CPSXKD 622'!H$10),'CPSXKD 622'!$F253,0)</f>
        <v>1002000</v>
      </c>
      <c r="I253" s="192">
        <f>IF(AND($F253&lt;&gt;0,LEFT('CHUNG TU'!$J244,LEN('CPSXKD 622'!I$10))='CPSXKD 622'!I$10),'CPSXKD 622'!$F253,0)</f>
        <v>0</v>
      </c>
      <c r="J253" s="192">
        <f>IF(AND($F253&lt;&gt;0,LEFT('CHUNG TU'!$J244,LEN('CPSXKD 622'!J$10))='CPSXKD 622'!J$10),'CPSXKD 622'!$F253,0)</f>
        <v>0</v>
      </c>
      <c r="K253" s="192">
        <f t="shared" si="4"/>
        <v>0</v>
      </c>
      <c r="L253" s="201" t="str">
        <f>IF(F253&lt;&gt;0,'CHUNG TU'!J244,"")</f>
        <v>3382</v>
      </c>
      <c r="M253" s="192">
        <f>IF(LEFT('CHUNG TU'!J244,3)='CPSXKD 622'!$H$7,'CHUNG TU'!$L244,0)</f>
        <v>0</v>
      </c>
      <c r="N253" s="192">
        <f>IF(M253&lt;&gt;0,'CHUNG TU'!I244,"")</f>
      </c>
    </row>
    <row r="254" spans="2:14" ht="12.75">
      <c r="B254" s="192" t="str">
        <f>IF($F254+$M254&lt;&gt;0,'CHUNG TU'!A245,"")</f>
        <v>30/10/2020</v>
      </c>
      <c r="C254" s="192" t="str">
        <f>IF($F254+$M254&lt;&gt;0,IF('CHUNG TU'!B245&lt;&gt;"",'CHUNG TU'!B245,IF('CHUNG TU'!C245&lt;&gt;"",'CHUNG TU'!C245,'CHUNG TU'!D245)),"")</f>
        <v>PKT10/093</v>
      </c>
      <c r="D254" s="192" t="str">
        <f>IF($F254+$M254&lt;&gt;0,'CHUNG TU'!F245,"")</f>
        <v>30/10/2020</v>
      </c>
      <c r="E254" s="192" t="str">
        <f>IF($F254+$M254&lt;&gt;0,'CHUNG TU'!H245,"")</f>
        <v>Trích KPCĐ của CNTTSX PX1.F02</v>
      </c>
      <c r="F254" s="192">
        <f>IF(LEFT('CHUNG TU'!I245,3)='CPSXKD 622'!$H$7,'CHUNG TU'!$L245,0)</f>
        <v>1336000</v>
      </c>
      <c r="G254" s="192">
        <f>IF(AND($F254&lt;&gt;0,LEFT('CHUNG TU'!$J245,LEN('CPSXKD 622'!G$10))='CPSXKD 622'!G$10),'CPSXKD 622'!$F254,0)</f>
        <v>0</v>
      </c>
      <c r="H254" s="192">
        <f>IF(AND($F254&lt;&gt;0,LEFT('CHUNG TU'!$J245,LEN('CPSXKD 622'!H$10))='CPSXKD 622'!H$10),'CPSXKD 622'!$F254,0)</f>
        <v>1336000</v>
      </c>
      <c r="I254" s="192">
        <f>IF(AND($F254&lt;&gt;0,LEFT('CHUNG TU'!$J245,LEN('CPSXKD 622'!I$10))='CPSXKD 622'!I$10),'CPSXKD 622'!$F254,0)</f>
        <v>0</v>
      </c>
      <c r="J254" s="192">
        <f>IF(AND($F254&lt;&gt;0,LEFT('CHUNG TU'!$J245,LEN('CPSXKD 622'!J$10))='CPSXKD 622'!J$10),'CPSXKD 622'!$F254,0)</f>
        <v>0</v>
      </c>
      <c r="K254" s="192">
        <f t="shared" si="4"/>
        <v>0</v>
      </c>
      <c r="L254" s="201" t="str">
        <f>IF(F254&lt;&gt;0,'CHUNG TU'!J245,"")</f>
        <v>3382</v>
      </c>
      <c r="M254" s="192">
        <f>IF(LEFT('CHUNG TU'!J245,3)='CPSXKD 622'!$H$7,'CHUNG TU'!$L245,0)</f>
        <v>0</v>
      </c>
      <c r="N254" s="192">
        <f>IF(M254&lt;&gt;0,'CHUNG TU'!I245,"")</f>
      </c>
    </row>
    <row r="255" spans="2:14" ht="12.75">
      <c r="B255" s="192" t="str">
        <f>IF($F255+$M255&lt;&gt;0,'CHUNG TU'!A246,"")</f>
        <v>30/10/2020</v>
      </c>
      <c r="C255" s="192" t="str">
        <f>IF($F255+$M255&lt;&gt;0,IF('CHUNG TU'!B246&lt;&gt;"",'CHUNG TU'!B246,IF('CHUNG TU'!C246&lt;&gt;"",'CHUNG TU'!C246,'CHUNG TU'!D246)),"")</f>
        <v>PKT10/094</v>
      </c>
      <c r="D255" s="192" t="str">
        <f>IF($F255+$M255&lt;&gt;0,'CHUNG TU'!F246,"")</f>
        <v>30/10/2020</v>
      </c>
      <c r="E255" s="192" t="str">
        <f>IF($F255+$M255&lt;&gt;0,'CHUNG TU'!H246,"")</f>
        <v>Trích KPCĐ của CNTTSX PX2.B</v>
      </c>
      <c r="F255" s="192">
        <f>IF(LEFT('CHUNG TU'!I246,3)='CPSXKD 622'!$H$7,'CHUNG TU'!$L246,0)</f>
        <v>494000</v>
      </c>
      <c r="G255" s="192">
        <f>IF(AND($F255&lt;&gt;0,LEFT('CHUNG TU'!$J246,LEN('CPSXKD 622'!G$10))='CPSXKD 622'!G$10),'CPSXKD 622'!$F255,0)</f>
        <v>0</v>
      </c>
      <c r="H255" s="192">
        <f>IF(AND($F255&lt;&gt;0,LEFT('CHUNG TU'!$J246,LEN('CPSXKD 622'!H$10))='CPSXKD 622'!H$10),'CPSXKD 622'!$F255,0)</f>
        <v>494000</v>
      </c>
      <c r="I255" s="192">
        <f>IF(AND($F255&lt;&gt;0,LEFT('CHUNG TU'!$J246,LEN('CPSXKD 622'!I$10))='CPSXKD 622'!I$10),'CPSXKD 622'!$F255,0)</f>
        <v>0</v>
      </c>
      <c r="J255" s="192">
        <f>IF(AND($F255&lt;&gt;0,LEFT('CHUNG TU'!$J246,LEN('CPSXKD 622'!J$10))='CPSXKD 622'!J$10),'CPSXKD 622'!$F255,0)</f>
        <v>0</v>
      </c>
      <c r="K255" s="192">
        <f t="shared" si="4"/>
        <v>0</v>
      </c>
      <c r="L255" s="201" t="str">
        <f>IF(F255&lt;&gt;0,'CHUNG TU'!J246,"")</f>
        <v>3382</v>
      </c>
      <c r="M255" s="192">
        <f>IF(LEFT('CHUNG TU'!J246,3)='CPSXKD 622'!$H$7,'CHUNG TU'!$L246,0)</f>
        <v>0</v>
      </c>
      <c r="N255" s="192">
        <f>IF(M255&lt;&gt;0,'CHUNG TU'!I246,"")</f>
      </c>
    </row>
    <row r="256" spans="2:14" ht="12.75">
      <c r="B256" s="192">
        <f>IF($F256+$M256&lt;&gt;0,'CHUNG TU'!A247,"")</f>
      </c>
      <c r="C256" s="192">
        <f>IF($F256+$M256&lt;&gt;0,IF('CHUNG TU'!B247&lt;&gt;"",'CHUNG TU'!B247,IF('CHUNG TU'!C247&lt;&gt;"",'CHUNG TU'!C247,'CHUNG TU'!D247)),"")</f>
      </c>
      <c r="D256" s="192">
        <f>IF($F256+$M256&lt;&gt;0,'CHUNG TU'!F247,"")</f>
      </c>
      <c r="E256" s="192">
        <f>IF($F256+$M256&lt;&gt;0,'CHUNG TU'!H247,"")</f>
      </c>
      <c r="F256" s="192">
        <f>IF(LEFT('CHUNG TU'!I247,3)='CPSXKD 622'!$H$7,'CHUNG TU'!$L247,0)</f>
        <v>0</v>
      </c>
      <c r="G256" s="192">
        <f>IF(AND($F256&lt;&gt;0,LEFT('CHUNG TU'!$J247,LEN('CPSXKD 622'!G$10))='CPSXKD 622'!G$10),'CPSXKD 622'!$F256,0)</f>
        <v>0</v>
      </c>
      <c r="H256" s="192">
        <f>IF(AND($F256&lt;&gt;0,LEFT('CHUNG TU'!$J247,LEN('CPSXKD 622'!H$10))='CPSXKD 622'!H$10),'CPSXKD 622'!$F256,0)</f>
        <v>0</v>
      </c>
      <c r="I256" s="192">
        <f>IF(AND($F256&lt;&gt;0,LEFT('CHUNG TU'!$J247,LEN('CPSXKD 622'!I$10))='CPSXKD 622'!I$10),'CPSXKD 622'!$F256,0)</f>
        <v>0</v>
      </c>
      <c r="J256" s="192">
        <f>IF(AND($F256&lt;&gt;0,LEFT('CHUNG TU'!$J247,LEN('CPSXKD 622'!J$10))='CPSXKD 622'!J$10),'CPSXKD 622'!$F256,0)</f>
        <v>0</v>
      </c>
      <c r="K256" s="192">
        <f t="shared" si="4"/>
        <v>0</v>
      </c>
      <c r="L256" s="201">
        <f>IF(F256&lt;&gt;0,'CHUNG TU'!J247,"")</f>
      </c>
      <c r="M256" s="192">
        <f>IF(LEFT('CHUNG TU'!J247,3)='CPSXKD 622'!$H$7,'CHUNG TU'!$L247,0)</f>
        <v>0</v>
      </c>
      <c r="N256" s="192">
        <f>IF(M256&lt;&gt;0,'CHUNG TU'!I247,"")</f>
      </c>
    </row>
    <row r="257" spans="2:14" ht="12.75">
      <c r="B257" s="192">
        <f>IF($F257+$M257&lt;&gt;0,'CHUNG TU'!A248,"")</f>
      </c>
      <c r="C257" s="192">
        <f>IF($F257+$M257&lt;&gt;0,IF('CHUNG TU'!B248&lt;&gt;"",'CHUNG TU'!B248,IF('CHUNG TU'!C248&lt;&gt;"",'CHUNG TU'!C248,'CHUNG TU'!D248)),"")</f>
      </c>
      <c r="D257" s="192">
        <f>IF($F257+$M257&lt;&gt;0,'CHUNG TU'!F248,"")</f>
      </c>
      <c r="E257" s="192">
        <f>IF($F257+$M257&lt;&gt;0,'CHUNG TU'!H248,"")</f>
      </c>
      <c r="F257" s="192">
        <f>IF(LEFT('CHUNG TU'!I248,3)='CPSXKD 622'!$H$7,'CHUNG TU'!$L248,0)</f>
        <v>0</v>
      </c>
      <c r="G257" s="192">
        <f>IF(AND($F257&lt;&gt;0,LEFT('CHUNG TU'!$J248,LEN('CPSXKD 622'!G$10))='CPSXKD 622'!G$10),'CPSXKD 622'!$F257,0)</f>
        <v>0</v>
      </c>
      <c r="H257" s="192">
        <f>IF(AND($F257&lt;&gt;0,LEFT('CHUNG TU'!$J248,LEN('CPSXKD 622'!H$10))='CPSXKD 622'!H$10),'CPSXKD 622'!$F257,0)</f>
        <v>0</v>
      </c>
      <c r="I257" s="192">
        <f>IF(AND($F257&lt;&gt;0,LEFT('CHUNG TU'!$J248,LEN('CPSXKD 622'!I$10))='CPSXKD 622'!I$10),'CPSXKD 622'!$F257,0)</f>
        <v>0</v>
      </c>
      <c r="J257" s="192">
        <f>IF(AND($F257&lt;&gt;0,LEFT('CHUNG TU'!$J248,LEN('CPSXKD 622'!J$10))='CPSXKD 622'!J$10),'CPSXKD 622'!$F257,0)</f>
        <v>0</v>
      </c>
      <c r="K257" s="192">
        <f t="shared" si="4"/>
        <v>0</v>
      </c>
      <c r="L257" s="201">
        <f>IF(F257&lt;&gt;0,'CHUNG TU'!J248,"")</f>
      </c>
      <c r="M257" s="192">
        <f>IF(LEFT('CHUNG TU'!J248,3)='CPSXKD 622'!$H$7,'CHUNG TU'!$L248,0)</f>
        <v>0</v>
      </c>
      <c r="N257" s="192">
        <f>IF(M257&lt;&gt;0,'CHUNG TU'!I248,"")</f>
      </c>
    </row>
    <row r="258" spans="2:14" ht="12.75">
      <c r="B258" s="192">
        <f>IF($F258+$M258&lt;&gt;0,'CHUNG TU'!A249,"")</f>
      </c>
      <c r="C258" s="192">
        <f>IF($F258+$M258&lt;&gt;0,IF('CHUNG TU'!B249&lt;&gt;"",'CHUNG TU'!B249,IF('CHUNG TU'!C249&lt;&gt;"",'CHUNG TU'!C249,'CHUNG TU'!D249)),"")</f>
      </c>
      <c r="D258" s="192">
        <f>IF($F258+$M258&lt;&gt;0,'CHUNG TU'!F249,"")</f>
      </c>
      <c r="E258" s="192">
        <f>IF($F258+$M258&lt;&gt;0,'CHUNG TU'!H249,"")</f>
      </c>
      <c r="F258" s="192">
        <f>IF(LEFT('CHUNG TU'!I249,3)='CPSXKD 622'!$H$7,'CHUNG TU'!$L249,0)</f>
        <v>0</v>
      </c>
      <c r="G258" s="192">
        <f>IF(AND($F258&lt;&gt;0,LEFT('CHUNG TU'!$J249,LEN('CPSXKD 622'!G$10))='CPSXKD 622'!G$10),'CPSXKD 622'!$F258,0)</f>
        <v>0</v>
      </c>
      <c r="H258" s="192">
        <f>IF(AND($F258&lt;&gt;0,LEFT('CHUNG TU'!$J249,LEN('CPSXKD 622'!H$10))='CPSXKD 622'!H$10),'CPSXKD 622'!$F258,0)</f>
        <v>0</v>
      </c>
      <c r="I258" s="192">
        <f>IF(AND($F258&lt;&gt;0,LEFT('CHUNG TU'!$J249,LEN('CPSXKD 622'!I$10))='CPSXKD 622'!I$10),'CPSXKD 622'!$F258,0)</f>
        <v>0</v>
      </c>
      <c r="J258" s="192">
        <f>IF(AND($F258&lt;&gt;0,LEFT('CHUNG TU'!$J249,LEN('CPSXKD 622'!J$10))='CPSXKD 622'!J$10),'CPSXKD 622'!$F258,0)</f>
        <v>0</v>
      </c>
      <c r="K258" s="192">
        <f t="shared" si="4"/>
        <v>0</v>
      </c>
      <c r="L258" s="201">
        <f>IF(F258&lt;&gt;0,'CHUNG TU'!J249,"")</f>
      </c>
      <c r="M258" s="192">
        <f>IF(LEFT('CHUNG TU'!J249,3)='CPSXKD 622'!$H$7,'CHUNG TU'!$L249,0)</f>
        <v>0</v>
      </c>
      <c r="N258" s="192">
        <f>IF(M258&lt;&gt;0,'CHUNG TU'!I249,"")</f>
      </c>
    </row>
    <row r="259" spans="2:14" ht="12.75">
      <c r="B259" s="192">
        <f>IF($F259+$M259&lt;&gt;0,'CHUNG TU'!A250,"")</f>
      </c>
      <c r="C259" s="192">
        <f>IF($F259+$M259&lt;&gt;0,IF('CHUNG TU'!B250&lt;&gt;"",'CHUNG TU'!B250,IF('CHUNG TU'!C250&lt;&gt;"",'CHUNG TU'!C250,'CHUNG TU'!D250)),"")</f>
      </c>
      <c r="D259" s="192">
        <f>IF($F259+$M259&lt;&gt;0,'CHUNG TU'!F250,"")</f>
      </c>
      <c r="E259" s="192">
        <f>IF($F259+$M259&lt;&gt;0,'CHUNG TU'!H250,"")</f>
      </c>
      <c r="F259" s="192">
        <f>IF(LEFT('CHUNG TU'!I250,3)='CPSXKD 622'!$H$7,'CHUNG TU'!$L250,0)</f>
        <v>0</v>
      </c>
      <c r="G259" s="192">
        <f>IF(AND($F259&lt;&gt;0,LEFT('CHUNG TU'!$J250,LEN('CPSXKD 622'!G$10))='CPSXKD 622'!G$10),'CPSXKD 622'!$F259,0)</f>
        <v>0</v>
      </c>
      <c r="H259" s="192">
        <f>IF(AND($F259&lt;&gt;0,LEFT('CHUNG TU'!$J250,LEN('CPSXKD 622'!H$10))='CPSXKD 622'!H$10),'CPSXKD 622'!$F259,0)</f>
        <v>0</v>
      </c>
      <c r="I259" s="192">
        <f>IF(AND($F259&lt;&gt;0,LEFT('CHUNG TU'!$J250,LEN('CPSXKD 622'!I$10))='CPSXKD 622'!I$10),'CPSXKD 622'!$F259,0)</f>
        <v>0</v>
      </c>
      <c r="J259" s="192">
        <f>IF(AND($F259&lt;&gt;0,LEFT('CHUNG TU'!$J250,LEN('CPSXKD 622'!J$10))='CPSXKD 622'!J$10),'CPSXKD 622'!$F259,0)</f>
        <v>0</v>
      </c>
      <c r="K259" s="192">
        <f t="shared" si="4"/>
        <v>0</v>
      </c>
      <c r="L259" s="201">
        <f>IF(F259&lt;&gt;0,'CHUNG TU'!J250,"")</f>
      </c>
      <c r="M259" s="192">
        <f>IF(LEFT('CHUNG TU'!J250,3)='CPSXKD 622'!$H$7,'CHUNG TU'!$L250,0)</f>
        <v>0</v>
      </c>
      <c r="N259" s="192">
        <f>IF(M259&lt;&gt;0,'CHUNG TU'!I250,"")</f>
      </c>
    </row>
    <row r="260" spans="2:14" ht="12.75">
      <c r="B260" s="192" t="str">
        <f>IF($F260+$M260&lt;&gt;0,'CHUNG TU'!A251,"")</f>
        <v>30/10/2020</v>
      </c>
      <c r="C260" s="192" t="str">
        <f>IF($F260+$M260&lt;&gt;0,IF('CHUNG TU'!B251&lt;&gt;"",'CHUNG TU'!B251,IF('CHUNG TU'!C251&lt;&gt;"",'CHUNG TU'!C251,'CHUNG TU'!D251)),"")</f>
        <v>PKT10/092</v>
      </c>
      <c r="D260" s="192" t="str">
        <f>IF($F260+$M260&lt;&gt;0,'CHUNG TU'!F251,"")</f>
        <v>30/10/2020</v>
      </c>
      <c r="E260" s="192" t="str">
        <f>IF($F260+$M260&lt;&gt;0,'CHUNG TU'!H251,"")</f>
        <v>Trích BHXH của CNTTSX PX1.F01</v>
      </c>
      <c r="F260" s="192">
        <f>IF(LEFT('CHUNG TU'!I251,3)='CPSXKD 622'!$H$7,'CHUNG TU'!$L251,0)</f>
        <v>8767500</v>
      </c>
      <c r="G260" s="192">
        <f>IF(AND($F260&lt;&gt;0,LEFT('CHUNG TU'!$J251,LEN('CPSXKD 622'!G$10))='CPSXKD 622'!G$10),'CPSXKD 622'!$F260,0)</f>
        <v>0</v>
      </c>
      <c r="H260" s="192">
        <f>IF(AND($F260&lt;&gt;0,LEFT('CHUNG TU'!$J251,LEN('CPSXKD 622'!H$10))='CPSXKD 622'!H$10),'CPSXKD 622'!$F260,0)</f>
        <v>8767500</v>
      </c>
      <c r="I260" s="192">
        <f>IF(AND($F260&lt;&gt;0,LEFT('CHUNG TU'!$J251,LEN('CPSXKD 622'!I$10))='CPSXKD 622'!I$10),'CPSXKD 622'!$F260,0)</f>
        <v>0</v>
      </c>
      <c r="J260" s="192">
        <f>IF(AND($F260&lt;&gt;0,LEFT('CHUNG TU'!$J251,LEN('CPSXKD 622'!J$10))='CPSXKD 622'!J$10),'CPSXKD 622'!$F260,0)</f>
        <v>0</v>
      </c>
      <c r="K260" s="192">
        <f t="shared" si="4"/>
        <v>0</v>
      </c>
      <c r="L260" s="201" t="str">
        <f>IF(F260&lt;&gt;0,'CHUNG TU'!J251,"")</f>
        <v>3383</v>
      </c>
      <c r="M260" s="192">
        <f>IF(LEFT('CHUNG TU'!J251,3)='CPSXKD 622'!$H$7,'CHUNG TU'!$L251,0)</f>
        <v>0</v>
      </c>
      <c r="N260" s="192">
        <f>IF(M260&lt;&gt;0,'CHUNG TU'!I251,"")</f>
      </c>
    </row>
    <row r="261" spans="2:14" ht="12.75">
      <c r="B261" s="192" t="str">
        <f>IF($F261+$M261&lt;&gt;0,'CHUNG TU'!A252,"")</f>
        <v>30/10/2020</v>
      </c>
      <c r="C261" s="192" t="str">
        <f>IF($F261+$M261&lt;&gt;0,IF('CHUNG TU'!B252&lt;&gt;"",'CHUNG TU'!B252,IF('CHUNG TU'!C252&lt;&gt;"",'CHUNG TU'!C252,'CHUNG TU'!D252)),"")</f>
        <v>PKT10/093</v>
      </c>
      <c r="D261" s="192" t="str">
        <f>IF($F261+$M261&lt;&gt;0,'CHUNG TU'!F252,"")</f>
        <v>30/10/2020</v>
      </c>
      <c r="E261" s="192" t="str">
        <f>IF($F261+$M261&lt;&gt;0,'CHUNG TU'!H252,"")</f>
        <v>Trích BHXH của CNTTSX PX1.F02</v>
      </c>
      <c r="F261" s="192">
        <f>IF(LEFT('CHUNG TU'!I252,3)='CPSXKD 622'!$H$7,'CHUNG TU'!$L252,0)</f>
        <v>11690000</v>
      </c>
      <c r="G261" s="192">
        <f>IF(AND($F261&lt;&gt;0,LEFT('CHUNG TU'!$J252,LEN('CPSXKD 622'!G$10))='CPSXKD 622'!G$10),'CPSXKD 622'!$F261,0)</f>
        <v>0</v>
      </c>
      <c r="H261" s="192">
        <f>IF(AND($F261&lt;&gt;0,LEFT('CHUNG TU'!$J252,LEN('CPSXKD 622'!H$10))='CPSXKD 622'!H$10),'CPSXKD 622'!$F261,0)</f>
        <v>11690000</v>
      </c>
      <c r="I261" s="192">
        <f>IF(AND($F261&lt;&gt;0,LEFT('CHUNG TU'!$J252,LEN('CPSXKD 622'!I$10))='CPSXKD 622'!I$10),'CPSXKD 622'!$F261,0)</f>
        <v>0</v>
      </c>
      <c r="J261" s="192">
        <f>IF(AND($F261&lt;&gt;0,LEFT('CHUNG TU'!$J252,LEN('CPSXKD 622'!J$10))='CPSXKD 622'!J$10),'CPSXKD 622'!$F261,0)</f>
        <v>0</v>
      </c>
      <c r="K261" s="192">
        <f t="shared" si="4"/>
        <v>0</v>
      </c>
      <c r="L261" s="201" t="str">
        <f>IF(F261&lt;&gt;0,'CHUNG TU'!J252,"")</f>
        <v>3383</v>
      </c>
      <c r="M261" s="192">
        <f>IF(LEFT('CHUNG TU'!J252,3)='CPSXKD 622'!$H$7,'CHUNG TU'!$L252,0)</f>
        <v>0</v>
      </c>
      <c r="N261" s="192">
        <f>IF(M261&lt;&gt;0,'CHUNG TU'!I252,"")</f>
      </c>
    </row>
    <row r="262" spans="2:14" ht="12.75">
      <c r="B262" s="192" t="str">
        <f>IF($F262+$M262&lt;&gt;0,'CHUNG TU'!A253,"")</f>
        <v>30/10/2020</v>
      </c>
      <c r="C262" s="192" t="str">
        <f>IF($F262+$M262&lt;&gt;0,IF('CHUNG TU'!B253&lt;&gt;"",'CHUNG TU'!B253,IF('CHUNG TU'!C253&lt;&gt;"",'CHUNG TU'!C253,'CHUNG TU'!D253)),"")</f>
        <v>PKT10/094</v>
      </c>
      <c r="D262" s="192" t="str">
        <f>IF($F262+$M262&lt;&gt;0,'CHUNG TU'!F253,"")</f>
        <v>30/10/2020</v>
      </c>
      <c r="E262" s="192" t="str">
        <f>IF($F262+$M262&lt;&gt;0,'CHUNG TU'!H253,"")</f>
        <v>Trích BHXH của CNTTSX PX2.B</v>
      </c>
      <c r="F262" s="192">
        <f>IF(LEFT('CHUNG TU'!I253,3)='CPSXKD 622'!$H$7,'CHUNG TU'!$L253,0)</f>
        <v>4322500</v>
      </c>
      <c r="G262" s="192">
        <f>IF(AND($F262&lt;&gt;0,LEFT('CHUNG TU'!$J253,LEN('CPSXKD 622'!G$10))='CPSXKD 622'!G$10),'CPSXKD 622'!$F262,0)</f>
        <v>0</v>
      </c>
      <c r="H262" s="192">
        <f>IF(AND($F262&lt;&gt;0,LEFT('CHUNG TU'!$J253,LEN('CPSXKD 622'!H$10))='CPSXKD 622'!H$10),'CPSXKD 622'!$F262,0)</f>
        <v>4322500</v>
      </c>
      <c r="I262" s="192">
        <f>IF(AND($F262&lt;&gt;0,LEFT('CHUNG TU'!$J253,LEN('CPSXKD 622'!I$10))='CPSXKD 622'!I$10),'CPSXKD 622'!$F262,0)</f>
        <v>0</v>
      </c>
      <c r="J262" s="192">
        <f>IF(AND($F262&lt;&gt;0,LEFT('CHUNG TU'!$J253,LEN('CPSXKD 622'!J$10))='CPSXKD 622'!J$10),'CPSXKD 622'!$F262,0)</f>
        <v>0</v>
      </c>
      <c r="K262" s="192">
        <f t="shared" si="4"/>
        <v>0</v>
      </c>
      <c r="L262" s="201" t="str">
        <f>IF(F262&lt;&gt;0,'CHUNG TU'!J253,"")</f>
        <v>3383</v>
      </c>
      <c r="M262" s="192">
        <f>IF(LEFT('CHUNG TU'!J253,3)='CPSXKD 622'!$H$7,'CHUNG TU'!$L253,0)</f>
        <v>0</v>
      </c>
      <c r="N262" s="192">
        <f>IF(M262&lt;&gt;0,'CHUNG TU'!I253,"")</f>
      </c>
    </row>
    <row r="263" spans="2:14" ht="12.75">
      <c r="B263" s="192">
        <f>IF($F263+$M263&lt;&gt;0,'CHUNG TU'!A254,"")</f>
      </c>
      <c r="C263" s="192">
        <f>IF($F263+$M263&lt;&gt;0,IF('CHUNG TU'!B254&lt;&gt;"",'CHUNG TU'!B254,IF('CHUNG TU'!C254&lt;&gt;"",'CHUNG TU'!C254,'CHUNG TU'!D254)),"")</f>
      </c>
      <c r="D263" s="192">
        <f>IF($F263+$M263&lt;&gt;0,'CHUNG TU'!F254,"")</f>
      </c>
      <c r="E263" s="192">
        <f>IF($F263+$M263&lt;&gt;0,'CHUNG TU'!H254,"")</f>
      </c>
      <c r="F263" s="192">
        <f>IF(LEFT('CHUNG TU'!I254,3)='CPSXKD 622'!$H$7,'CHUNG TU'!$L254,0)</f>
        <v>0</v>
      </c>
      <c r="G263" s="192">
        <f>IF(AND($F263&lt;&gt;0,LEFT('CHUNG TU'!$J254,LEN('CPSXKD 622'!G$10))='CPSXKD 622'!G$10),'CPSXKD 622'!$F263,0)</f>
        <v>0</v>
      </c>
      <c r="H263" s="192">
        <f>IF(AND($F263&lt;&gt;0,LEFT('CHUNG TU'!$J254,LEN('CPSXKD 622'!H$10))='CPSXKD 622'!H$10),'CPSXKD 622'!$F263,0)</f>
        <v>0</v>
      </c>
      <c r="I263" s="192">
        <f>IF(AND($F263&lt;&gt;0,LEFT('CHUNG TU'!$J254,LEN('CPSXKD 622'!I$10))='CPSXKD 622'!I$10),'CPSXKD 622'!$F263,0)</f>
        <v>0</v>
      </c>
      <c r="J263" s="192">
        <f>IF(AND($F263&lt;&gt;0,LEFT('CHUNG TU'!$J254,LEN('CPSXKD 622'!J$10))='CPSXKD 622'!J$10),'CPSXKD 622'!$F263,0)</f>
        <v>0</v>
      </c>
      <c r="K263" s="192">
        <f t="shared" si="4"/>
        <v>0</v>
      </c>
      <c r="L263" s="201">
        <f>IF(F263&lt;&gt;0,'CHUNG TU'!J254,"")</f>
      </c>
      <c r="M263" s="192">
        <f>IF(LEFT('CHUNG TU'!J254,3)='CPSXKD 622'!$H$7,'CHUNG TU'!$L254,0)</f>
        <v>0</v>
      </c>
      <c r="N263" s="192">
        <f>IF(M263&lt;&gt;0,'CHUNG TU'!I254,"")</f>
      </c>
    </row>
    <row r="264" spans="2:14" ht="12.75">
      <c r="B264" s="192">
        <f>IF($F264+$M264&lt;&gt;0,'CHUNG TU'!A255,"")</f>
      </c>
      <c r="C264" s="192">
        <f>IF($F264+$M264&lt;&gt;0,IF('CHUNG TU'!B255&lt;&gt;"",'CHUNG TU'!B255,IF('CHUNG TU'!C255&lt;&gt;"",'CHUNG TU'!C255,'CHUNG TU'!D255)),"")</f>
      </c>
      <c r="D264" s="192">
        <f>IF($F264+$M264&lt;&gt;0,'CHUNG TU'!F255,"")</f>
      </c>
      <c r="E264" s="192">
        <f>IF($F264+$M264&lt;&gt;0,'CHUNG TU'!H255,"")</f>
      </c>
      <c r="F264" s="192">
        <f>IF(LEFT('CHUNG TU'!I255,3)='CPSXKD 622'!$H$7,'CHUNG TU'!$L255,0)</f>
        <v>0</v>
      </c>
      <c r="G264" s="192">
        <f>IF(AND($F264&lt;&gt;0,LEFT('CHUNG TU'!$J255,LEN('CPSXKD 622'!G$10))='CPSXKD 622'!G$10),'CPSXKD 622'!$F264,0)</f>
        <v>0</v>
      </c>
      <c r="H264" s="192">
        <f>IF(AND($F264&lt;&gt;0,LEFT('CHUNG TU'!$J255,LEN('CPSXKD 622'!H$10))='CPSXKD 622'!H$10),'CPSXKD 622'!$F264,0)</f>
        <v>0</v>
      </c>
      <c r="I264" s="192">
        <f>IF(AND($F264&lt;&gt;0,LEFT('CHUNG TU'!$J255,LEN('CPSXKD 622'!I$10))='CPSXKD 622'!I$10),'CPSXKD 622'!$F264,0)</f>
        <v>0</v>
      </c>
      <c r="J264" s="192">
        <f>IF(AND($F264&lt;&gt;0,LEFT('CHUNG TU'!$J255,LEN('CPSXKD 622'!J$10))='CPSXKD 622'!J$10),'CPSXKD 622'!$F264,0)</f>
        <v>0</v>
      </c>
      <c r="K264" s="192">
        <f t="shared" si="4"/>
        <v>0</v>
      </c>
      <c r="L264" s="201">
        <f>IF(F264&lt;&gt;0,'CHUNG TU'!J255,"")</f>
      </c>
      <c r="M264" s="192">
        <f>IF(LEFT('CHUNG TU'!J255,3)='CPSXKD 622'!$H$7,'CHUNG TU'!$L255,0)</f>
        <v>0</v>
      </c>
      <c r="N264" s="192">
        <f>IF(M264&lt;&gt;0,'CHUNG TU'!I255,"")</f>
      </c>
    </row>
    <row r="265" spans="2:14" ht="12.75">
      <c r="B265" s="192">
        <f>IF($F265+$M265&lt;&gt;0,'CHUNG TU'!A256,"")</f>
      </c>
      <c r="C265" s="192">
        <f>IF($F265+$M265&lt;&gt;0,IF('CHUNG TU'!B256&lt;&gt;"",'CHUNG TU'!B256,IF('CHUNG TU'!C256&lt;&gt;"",'CHUNG TU'!C256,'CHUNG TU'!D256)),"")</f>
      </c>
      <c r="D265" s="192">
        <f>IF($F265+$M265&lt;&gt;0,'CHUNG TU'!F256,"")</f>
      </c>
      <c r="E265" s="192">
        <f>IF($F265+$M265&lt;&gt;0,'CHUNG TU'!H256,"")</f>
      </c>
      <c r="F265" s="192">
        <f>IF(LEFT('CHUNG TU'!I256,3)='CPSXKD 622'!$H$7,'CHUNG TU'!$L256,0)</f>
        <v>0</v>
      </c>
      <c r="G265" s="192">
        <f>IF(AND($F265&lt;&gt;0,LEFT('CHUNG TU'!$J256,LEN('CPSXKD 622'!G$10))='CPSXKD 622'!G$10),'CPSXKD 622'!$F265,0)</f>
        <v>0</v>
      </c>
      <c r="H265" s="192">
        <f>IF(AND($F265&lt;&gt;0,LEFT('CHUNG TU'!$J256,LEN('CPSXKD 622'!H$10))='CPSXKD 622'!H$10),'CPSXKD 622'!$F265,0)</f>
        <v>0</v>
      </c>
      <c r="I265" s="192">
        <f>IF(AND($F265&lt;&gt;0,LEFT('CHUNG TU'!$J256,LEN('CPSXKD 622'!I$10))='CPSXKD 622'!I$10),'CPSXKD 622'!$F265,0)</f>
        <v>0</v>
      </c>
      <c r="J265" s="192">
        <f>IF(AND($F265&lt;&gt;0,LEFT('CHUNG TU'!$J256,LEN('CPSXKD 622'!J$10))='CPSXKD 622'!J$10),'CPSXKD 622'!$F265,0)</f>
        <v>0</v>
      </c>
      <c r="K265" s="192">
        <f t="shared" si="4"/>
        <v>0</v>
      </c>
      <c r="L265" s="201">
        <f>IF(F265&lt;&gt;0,'CHUNG TU'!J256,"")</f>
      </c>
      <c r="M265" s="192">
        <f>IF(LEFT('CHUNG TU'!J256,3)='CPSXKD 622'!$H$7,'CHUNG TU'!$L256,0)</f>
        <v>0</v>
      </c>
      <c r="N265" s="192">
        <f>IF(M265&lt;&gt;0,'CHUNG TU'!I256,"")</f>
      </c>
    </row>
    <row r="266" spans="2:14" ht="12.75">
      <c r="B266" s="192">
        <f>IF($F266+$M266&lt;&gt;0,'CHUNG TU'!A257,"")</f>
      </c>
      <c r="C266" s="192">
        <f>IF($F266+$M266&lt;&gt;0,IF('CHUNG TU'!B257&lt;&gt;"",'CHUNG TU'!B257,IF('CHUNG TU'!C257&lt;&gt;"",'CHUNG TU'!C257,'CHUNG TU'!D257)),"")</f>
      </c>
      <c r="D266" s="192">
        <f>IF($F266+$M266&lt;&gt;0,'CHUNG TU'!F257,"")</f>
      </c>
      <c r="E266" s="192">
        <f>IF($F266+$M266&lt;&gt;0,'CHUNG TU'!H257,"")</f>
      </c>
      <c r="F266" s="192">
        <f>IF(LEFT('CHUNG TU'!I257,3)='CPSXKD 622'!$H$7,'CHUNG TU'!$L257,0)</f>
        <v>0</v>
      </c>
      <c r="G266" s="192">
        <f>IF(AND($F266&lt;&gt;0,LEFT('CHUNG TU'!$J257,LEN('CPSXKD 622'!G$10))='CPSXKD 622'!G$10),'CPSXKD 622'!$F266,0)</f>
        <v>0</v>
      </c>
      <c r="H266" s="192">
        <f>IF(AND($F266&lt;&gt;0,LEFT('CHUNG TU'!$J257,LEN('CPSXKD 622'!H$10))='CPSXKD 622'!H$10),'CPSXKD 622'!$F266,0)</f>
        <v>0</v>
      </c>
      <c r="I266" s="192">
        <f>IF(AND($F266&lt;&gt;0,LEFT('CHUNG TU'!$J257,LEN('CPSXKD 622'!I$10))='CPSXKD 622'!I$10),'CPSXKD 622'!$F266,0)</f>
        <v>0</v>
      </c>
      <c r="J266" s="192">
        <f>IF(AND($F266&lt;&gt;0,LEFT('CHUNG TU'!$J257,LEN('CPSXKD 622'!J$10))='CPSXKD 622'!J$10),'CPSXKD 622'!$F266,0)</f>
        <v>0</v>
      </c>
      <c r="K266" s="192">
        <f t="shared" si="4"/>
        <v>0</v>
      </c>
      <c r="L266" s="201">
        <f>IF(F266&lt;&gt;0,'CHUNG TU'!J257,"")</f>
      </c>
      <c r="M266" s="192">
        <f>IF(LEFT('CHUNG TU'!J257,3)='CPSXKD 622'!$H$7,'CHUNG TU'!$L257,0)</f>
        <v>0</v>
      </c>
      <c r="N266" s="192">
        <f>IF(M266&lt;&gt;0,'CHUNG TU'!I257,"")</f>
      </c>
    </row>
    <row r="267" spans="2:14" ht="12.75">
      <c r="B267" s="192" t="str">
        <f>IF($F267+$M267&lt;&gt;0,'CHUNG TU'!A258,"")</f>
        <v>30/10/2020</v>
      </c>
      <c r="C267" s="192" t="str">
        <f>IF($F267+$M267&lt;&gt;0,IF('CHUNG TU'!B258&lt;&gt;"",'CHUNG TU'!B258,IF('CHUNG TU'!C258&lt;&gt;"",'CHUNG TU'!C258,'CHUNG TU'!D258)),"")</f>
        <v>PKT10/092</v>
      </c>
      <c r="D267" s="192" t="str">
        <f>IF($F267+$M267&lt;&gt;0,'CHUNG TU'!F258,"")</f>
        <v>30/10/2020</v>
      </c>
      <c r="E267" s="192" t="str">
        <f>IF($F267+$M267&lt;&gt;0,'CHUNG TU'!H258,"")</f>
        <v>Trích BHYT của CNTTSX PX1.F01</v>
      </c>
      <c r="F267" s="192">
        <f>IF(LEFT('CHUNG TU'!I258,3)='CPSXKD 622'!$H$7,'CHUNG TU'!$L258,0)</f>
        <v>1503000</v>
      </c>
      <c r="G267" s="192">
        <f>IF(AND($F267&lt;&gt;0,LEFT('CHUNG TU'!$J258,LEN('CPSXKD 622'!G$10))='CPSXKD 622'!G$10),'CPSXKD 622'!$F267,0)</f>
        <v>0</v>
      </c>
      <c r="H267" s="192">
        <f>IF(AND($F267&lt;&gt;0,LEFT('CHUNG TU'!$J258,LEN('CPSXKD 622'!H$10))='CPSXKD 622'!H$10),'CPSXKD 622'!$F267,0)</f>
        <v>1503000</v>
      </c>
      <c r="I267" s="192">
        <f>IF(AND($F267&lt;&gt;0,LEFT('CHUNG TU'!$J258,LEN('CPSXKD 622'!I$10))='CPSXKD 622'!I$10),'CPSXKD 622'!$F267,0)</f>
        <v>0</v>
      </c>
      <c r="J267" s="192">
        <f>IF(AND($F267&lt;&gt;0,LEFT('CHUNG TU'!$J258,LEN('CPSXKD 622'!J$10))='CPSXKD 622'!J$10),'CPSXKD 622'!$F267,0)</f>
        <v>0</v>
      </c>
      <c r="K267" s="192">
        <f t="shared" si="4"/>
        <v>0</v>
      </c>
      <c r="L267" s="201" t="str">
        <f>IF(F267&lt;&gt;0,'CHUNG TU'!J258,"")</f>
        <v>3384</v>
      </c>
      <c r="M267" s="192">
        <f>IF(LEFT('CHUNG TU'!J258,3)='CPSXKD 622'!$H$7,'CHUNG TU'!$L258,0)</f>
        <v>0</v>
      </c>
      <c r="N267" s="192">
        <f>IF(M267&lt;&gt;0,'CHUNG TU'!I258,"")</f>
      </c>
    </row>
    <row r="268" spans="2:14" ht="12.75">
      <c r="B268" s="192" t="str">
        <f>IF($F268+$M268&lt;&gt;0,'CHUNG TU'!A259,"")</f>
        <v>30/10/2020</v>
      </c>
      <c r="C268" s="192" t="str">
        <f>IF($F268+$M268&lt;&gt;0,IF('CHUNG TU'!B259&lt;&gt;"",'CHUNG TU'!B259,IF('CHUNG TU'!C259&lt;&gt;"",'CHUNG TU'!C259,'CHUNG TU'!D259)),"")</f>
        <v>PKT10/093</v>
      </c>
      <c r="D268" s="192" t="str">
        <f>IF($F268+$M268&lt;&gt;0,'CHUNG TU'!F259,"")</f>
        <v>30/10/2020</v>
      </c>
      <c r="E268" s="192" t="str">
        <f>IF($F268+$M268&lt;&gt;0,'CHUNG TU'!H259,"")</f>
        <v>Trích BHYT của CNTTSX PX1.F02</v>
      </c>
      <c r="F268" s="192">
        <f>IF(LEFT('CHUNG TU'!I259,3)='CPSXKD 622'!$H$7,'CHUNG TU'!$L259,0)</f>
        <v>2004000</v>
      </c>
      <c r="G268" s="192">
        <f>IF(AND($F268&lt;&gt;0,LEFT('CHUNG TU'!$J259,LEN('CPSXKD 622'!G$10))='CPSXKD 622'!G$10),'CPSXKD 622'!$F268,0)</f>
        <v>0</v>
      </c>
      <c r="H268" s="192">
        <f>IF(AND($F268&lt;&gt;0,LEFT('CHUNG TU'!$J259,LEN('CPSXKD 622'!H$10))='CPSXKD 622'!H$10),'CPSXKD 622'!$F268,0)</f>
        <v>2004000</v>
      </c>
      <c r="I268" s="192">
        <f>IF(AND($F268&lt;&gt;0,LEFT('CHUNG TU'!$J259,LEN('CPSXKD 622'!I$10))='CPSXKD 622'!I$10),'CPSXKD 622'!$F268,0)</f>
        <v>0</v>
      </c>
      <c r="J268" s="192">
        <f>IF(AND($F268&lt;&gt;0,LEFT('CHUNG TU'!$J259,LEN('CPSXKD 622'!J$10))='CPSXKD 622'!J$10),'CPSXKD 622'!$F268,0)</f>
        <v>0</v>
      </c>
      <c r="K268" s="192">
        <f t="shared" si="4"/>
        <v>0</v>
      </c>
      <c r="L268" s="201" t="str">
        <f>IF(F268&lt;&gt;0,'CHUNG TU'!J259,"")</f>
        <v>3384</v>
      </c>
      <c r="M268" s="192">
        <f>IF(LEFT('CHUNG TU'!J259,3)='CPSXKD 622'!$H$7,'CHUNG TU'!$L259,0)</f>
        <v>0</v>
      </c>
      <c r="N268" s="192">
        <f>IF(M268&lt;&gt;0,'CHUNG TU'!I259,"")</f>
      </c>
    </row>
    <row r="269" spans="2:14" ht="12.75">
      <c r="B269" s="192" t="str">
        <f>IF($F269+$M269&lt;&gt;0,'CHUNG TU'!A260,"")</f>
        <v>30/10/2020</v>
      </c>
      <c r="C269" s="192" t="str">
        <f>IF($F269+$M269&lt;&gt;0,IF('CHUNG TU'!B260&lt;&gt;"",'CHUNG TU'!B260,IF('CHUNG TU'!C260&lt;&gt;"",'CHUNG TU'!C260,'CHUNG TU'!D260)),"")</f>
        <v>PKT10/094</v>
      </c>
      <c r="D269" s="192" t="str">
        <f>IF($F269+$M269&lt;&gt;0,'CHUNG TU'!F260,"")</f>
        <v>30/10/2020</v>
      </c>
      <c r="E269" s="192" t="str">
        <f>IF($F269+$M269&lt;&gt;0,'CHUNG TU'!H260,"")</f>
        <v>Trích BHYT của CNTTSX PX2.B</v>
      </c>
      <c r="F269" s="192">
        <f>IF(LEFT('CHUNG TU'!I260,3)='CPSXKD 622'!$H$7,'CHUNG TU'!$L260,0)</f>
        <v>741000</v>
      </c>
      <c r="G269" s="192">
        <f>IF(AND($F269&lt;&gt;0,LEFT('CHUNG TU'!$J260,LEN('CPSXKD 622'!G$10))='CPSXKD 622'!G$10),'CPSXKD 622'!$F269,0)</f>
        <v>0</v>
      </c>
      <c r="H269" s="192">
        <f>IF(AND($F269&lt;&gt;0,LEFT('CHUNG TU'!$J260,LEN('CPSXKD 622'!H$10))='CPSXKD 622'!H$10),'CPSXKD 622'!$F269,0)</f>
        <v>741000</v>
      </c>
      <c r="I269" s="192">
        <f>IF(AND($F269&lt;&gt;0,LEFT('CHUNG TU'!$J260,LEN('CPSXKD 622'!I$10))='CPSXKD 622'!I$10),'CPSXKD 622'!$F269,0)</f>
        <v>0</v>
      </c>
      <c r="J269" s="192">
        <f>IF(AND($F269&lt;&gt;0,LEFT('CHUNG TU'!$J260,LEN('CPSXKD 622'!J$10))='CPSXKD 622'!J$10),'CPSXKD 622'!$F269,0)</f>
        <v>0</v>
      </c>
      <c r="K269" s="192">
        <f t="shared" si="4"/>
        <v>0</v>
      </c>
      <c r="L269" s="201" t="str">
        <f>IF(F269&lt;&gt;0,'CHUNG TU'!J260,"")</f>
        <v>3384</v>
      </c>
      <c r="M269" s="192">
        <f>IF(LEFT('CHUNG TU'!J260,3)='CPSXKD 622'!$H$7,'CHUNG TU'!$L260,0)</f>
        <v>0</v>
      </c>
      <c r="N269" s="192">
        <f>IF(M269&lt;&gt;0,'CHUNG TU'!I260,"")</f>
      </c>
    </row>
    <row r="270" spans="2:14" ht="12.75">
      <c r="B270" s="192">
        <f>IF($F270+$M270&lt;&gt;0,'CHUNG TU'!A261,"")</f>
      </c>
      <c r="C270" s="192">
        <f>IF($F270+$M270&lt;&gt;0,IF('CHUNG TU'!B261&lt;&gt;"",'CHUNG TU'!B261,IF('CHUNG TU'!C261&lt;&gt;"",'CHUNG TU'!C261,'CHUNG TU'!D261)),"")</f>
      </c>
      <c r="D270" s="192">
        <f>IF($F270+$M270&lt;&gt;0,'CHUNG TU'!F261,"")</f>
      </c>
      <c r="E270" s="192">
        <f>IF($F270+$M270&lt;&gt;0,'CHUNG TU'!H261,"")</f>
      </c>
      <c r="F270" s="192">
        <f>IF(LEFT('CHUNG TU'!I261,3)='CPSXKD 622'!$H$7,'CHUNG TU'!$L261,0)</f>
        <v>0</v>
      </c>
      <c r="G270" s="192">
        <f>IF(AND($F270&lt;&gt;0,LEFT('CHUNG TU'!$J261,LEN('CPSXKD 622'!G$10))='CPSXKD 622'!G$10),'CPSXKD 622'!$F270,0)</f>
        <v>0</v>
      </c>
      <c r="H270" s="192">
        <f>IF(AND($F270&lt;&gt;0,LEFT('CHUNG TU'!$J261,LEN('CPSXKD 622'!H$10))='CPSXKD 622'!H$10),'CPSXKD 622'!$F270,0)</f>
        <v>0</v>
      </c>
      <c r="I270" s="192">
        <f>IF(AND($F270&lt;&gt;0,LEFT('CHUNG TU'!$J261,LEN('CPSXKD 622'!I$10))='CPSXKD 622'!I$10),'CPSXKD 622'!$F270,0)</f>
        <v>0</v>
      </c>
      <c r="J270" s="192">
        <f>IF(AND($F270&lt;&gt;0,LEFT('CHUNG TU'!$J261,LEN('CPSXKD 622'!J$10))='CPSXKD 622'!J$10),'CPSXKD 622'!$F270,0)</f>
        <v>0</v>
      </c>
      <c r="K270" s="192">
        <f t="shared" si="4"/>
        <v>0</v>
      </c>
      <c r="L270" s="201">
        <f>IF(F270&lt;&gt;0,'CHUNG TU'!J261,"")</f>
      </c>
      <c r="M270" s="192">
        <f>IF(LEFT('CHUNG TU'!J261,3)='CPSXKD 622'!$H$7,'CHUNG TU'!$L261,0)</f>
        <v>0</v>
      </c>
      <c r="N270" s="192">
        <f>IF(M270&lt;&gt;0,'CHUNG TU'!I261,"")</f>
      </c>
    </row>
    <row r="271" spans="2:14" ht="12.75">
      <c r="B271" s="192">
        <f>IF($F271+$M271&lt;&gt;0,'CHUNG TU'!A262,"")</f>
      </c>
      <c r="C271" s="192">
        <f>IF($F271+$M271&lt;&gt;0,IF('CHUNG TU'!B262&lt;&gt;"",'CHUNG TU'!B262,IF('CHUNG TU'!C262&lt;&gt;"",'CHUNG TU'!C262,'CHUNG TU'!D262)),"")</f>
      </c>
      <c r="D271" s="192">
        <f>IF($F271+$M271&lt;&gt;0,'CHUNG TU'!F262,"")</f>
      </c>
      <c r="E271" s="192">
        <f>IF($F271+$M271&lt;&gt;0,'CHUNG TU'!H262,"")</f>
      </c>
      <c r="F271" s="192">
        <f>IF(LEFT('CHUNG TU'!I262,3)='CPSXKD 622'!$H$7,'CHUNG TU'!$L262,0)</f>
        <v>0</v>
      </c>
      <c r="G271" s="192">
        <f>IF(AND($F271&lt;&gt;0,LEFT('CHUNG TU'!$J262,LEN('CPSXKD 622'!G$10))='CPSXKD 622'!G$10),'CPSXKD 622'!$F271,0)</f>
        <v>0</v>
      </c>
      <c r="H271" s="192">
        <f>IF(AND($F271&lt;&gt;0,LEFT('CHUNG TU'!$J262,LEN('CPSXKD 622'!H$10))='CPSXKD 622'!H$10),'CPSXKD 622'!$F271,0)</f>
        <v>0</v>
      </c>
      <c r="I271" s="192">
        <f>IF(AND($F271&lt;&gt;0,LEFT('CHUNG TU'!$J262,LEN('CPSXKD 622'!I$10))='CPSXKD 622'!I$10),'CPSXKD 622'!$F271,0)</f>
        <v>0</v>
      </c>
      <c r="J271" s="192">
        <f>IF(AND($F271&lt;&gt;0,LEFT('CHUNG TU'!$J262,LEN('CPSXKD 622'!J$10))='CPSXKD 622'!J$10),'CPSXKD 622'!$F271,0)</f>
        <v>0</v>
      </c>
      <c r="K271" s="192">
        <f aca="true" t="shared" si="5" ref="K271:K334">F271-SUM(G271:J271)</f>
        <v>0</v>
      </c>
      <c r="L271" s="201">
        <f>IF(F271&lt;&gt;0,'CHUNG TU'!J262,"")</f>
      </c>
      <c r="M271" s="192">
        <f>IF(LEFT('CHUNG TU'!J262,3)='CPSXKD 622'!$H$7,'CHUNG TU'!$L262,0)</f>
        <v>0</v>
      </c>
      <c r="N271" s="192">
        <f>IF(M271&lt;&gt;0,'CHUNG TU'!I262,"")</f>
      </c>
    </row>
    <row r="272" spans="2:14" ht="12.75">
      <c r="B272" s="192">
        <f>IF($F272+$M272&lt;&gt;0,'CHUNG TU'!A263,"")</f>
      </c>
      <c r="C272" s="192">
        <f>IF($F272+$M272&lt;&gt;0,IF('CHUNG TU'!B263&lt;&gt;"",'CHUNG TU'!B263,IF('CHUNG TU'!C263&lt;&gt;"",'CHUNG TU'!C263,'CHUNG TU'!D263)),"")</f>
      </c>
      <c r="D272" s="192">
        <f>IF($F272+$M272&lt;&gt;0,'CHUNG TU'!F263,"")</f>
      </c>
      <c r="E272" s="192">
        <f>IF($F272+$M272&lt;&gt;0,'CHUNG TU'!H263,"")</f>
      </c>
      <c r="F272" s="192">
        <f>IF(LEFT('CHUNG TU'!I263,3)='CPSXKD 622'!$H$7,'CHUNG TU'!$L263,0)</f>
        <v>0</v>
      </c>
      <c r="G272" s="192">
        <f>IF(AND($F272&lt;&gt;0,LEFT('CHUNG TU'!$J263,LEN('CPSXKD 622'!G$10))='CPSXKD 622'!G$10),'CPSXKD 622'!$F272,0)</f>
        <v>0</v>
      </c>
      <c r="H272" s="192">
        <f>IF(AND($F272&lt;&gt;0,LEFT('CHUNG TU'!$J263,LEN('CPSXKD 622'!H$10))='CPSXKD 622'!H$10),'CPSXKD 622'!$F272,0)</f>
        <v>0</v>
      </c>
      <c r="I272" s="192">
        <f>IF(AND($F272&lt;&gt;0,LEFT('CHUNG TU'!$J263,LEN('CPSXKD 622'!I$10))='CPSXKD 622'!I$10),'CPSXKD 622'!$F272,0)</f>
        <v>0</v>
      </c>
      <c r="J272" s="192">
        <f>IF(AND($F272&lt;&gt;0,LEFT('CHUNG TU'!$J263,LEN('CPSXKD 622'!J$10))='CPSXKD 622'!J$10),'CPSXKD 622'!$F272,0)</f>
        <v>0</v>
      </c>
      <c r="K272" s="192">
        <f t="shared" si="5"/>
        <v>0</v>
      </c>
      <c r="L272" s="201">
        <f>IF(F272&lt;&gt;0,'CHUNG TU'!J263,"")</f>
      </c>
      <c r="M272" s="192">
        <f>IF(LEFT('CHUNG TU'!J263,3)='CPSXKD 622'!$H$7,'CHUNG TU'!$L263,0)</f>
        <v>0</v>
      </c>
      <c r="N272" s="192">
        <f>IF(M272&lt;&gt;0,'CHUNG TU'!I263,"")</f>
      </c>
    </row>
    <row r="273" spans="2:14" ht="12.75">
      <c r="B273" s="192">
        <f>IF($F273+$M273&lt;&gt;0,'CHUNG TU'!A264,"")</f>
      </c>
      <c r="C273" s="192">
        <f>IF($F273+$M273&lt;&gt;0,IF('CHUNG TU'!B264&lt;&gt;"",'CHUNG TU'!B264,IF('CHUNG TU'!C264&lt;&gt;"",'CHUNG TU'!C264,'CHUNG TU'!D264)),"")</f>
      </c>
      <c r="D273" s="192">
        <f>IF($F273+$M273&lt;&gt;0,'CHUNG TU'!F264,"")</f>
      </c>
      <c r="E273" s="192">
        <f>IF($F273+$M273&lt;&gt;0,'CHUNG TU'!H264,"")</f>
      </c>
      <c r="F273" s="192">
        <f>IF(LEFT('CHUNG TU'!I264,3)='CPSXKD 622'!$H$7,'CHUNG TU'!$L264,0)</f>
        <v>0</v>
      </c>
      <c r="G273" s="192">
        <f>IF(AND($F273&lt;&gt;0,LEFT('CHUNG TU'!$J264,LEN('CPSXKD 622'!G$10))='CPSXKD 622'!G$10),'CPSXKD 622'!$F273,0)</f>
        <v>0</v>
      </c>
      <c r="H273" s="192">
        <f>IF(AND($F273&lt;&gt;0,LEFT('CHUNG TU'!$J264,LEN('CPSXKD 622'!H$10))='CPSXKD 622'!H$10),'CPSXKD 622'!$F273,0)</f>
        <v>0</v>
      </c>
      <c r="I273" s="192">
        <f>IF(AND($F273&lt;&gt;0,LEFT('CHUNG TU'!$J264,LEN('CPSXKD 622'!I$10))='CPSXKD 622'!I$10),'CPSXKD 622'!$F273,0)</f>
        <v>0</v>
      </c>
      <c r="J273" s="192">
        <f>IF(AND($F273&lt;&gt;0,LEFT('CHUNG TU'!$J264,LEN('CPSXKD 622'!J$10))='CPSXKD 622'!J$10),'CPSXKD 622'!$F273,0)</f>
        <v>0</v>
      </c>
      <c r="K273" s="192">
        <f t="shared" si="5"/>
        <v>0</v>
      </c>
      <c r="L273" s="201">
        <f>IF(F273&lt;&gt;0,'CHUNG TU'!J264,"")</f>
      </c>
      <c r="M273" s="192">
        <f>IF(LEFT('CHUNG TU'!J264,3)='CPSXKD 622'!$H$7,'CHUNG TU'!$L264,0)</f>
        <v>0</v>
      </c>
      <c r="N273" s="192">
        <f>IF(M273&lt;&gt;0,'CHUNG TU'!I264,"")</f>
      </c>
    </row>
    <row r="274" spans="2:14" ht="12.75">
      <c r="B274" s="192" t="str">
        <f>IF($F274+$M274&lt;&gt;0,'CHUNG TU'!A265,"")</f>
        <v>30/10/2020</v>
      </c>
      <c r="C274" s="192" t="str">
        <f>IF($F274+$M274&lt;&gt;0,IF('CHUNG TU'!B265&lt;&gt;"",'CHUNG TU'!B265,IF('CHUNG TU'!C265&lt;&gt;"",'CHUNG TU'!C265,'CHUNG TU'!D265)),"")</f>
        <v>PKT10/092</v>
      </c>
      <c r="D274" s="192" t="str">
        <f>IF($F274+$M274&lt;&gt;0,'CHUNG TU'!F265,"")</f>
        <v>30/10/2020</v>
      </c>
      <c r="E274" s="192" t="str">
        <f>IF($F274+$M274&lt;&gt;0,'CHUNG TU'!H265,"")</f>
        <v>Trích BHTN của CNTTSX PX1.F01</v>
      </c>
      <c r="F274" s="192">
        <f>IF(LEFT('CHUNG TU'!I265,3)='CPSXKD 622'!$H$7,'CHUNG TU'!$L265,0)</f>
        <v>501000</v>
      </c>
      <c r="G274" s="192">
        <f>IF(AND($F274&lt;&gt;0,LEFT('CHUNG TU'!$J265,LEN('CPSXKD 622'!G$10))='CPSXKD 622'!G$10),'CPSXKD 622'!$F274,0)</f>
        <v>0</v>
      </c>
      <c r="H274" s="192">
        <f>IF(AND($F274&lt;&gt;0,LEFT('CHUNG TU'!$J265,LEN('CPSXKD 622'!H$10))='CPSXKD 622'!H$10),'CPSXKD 622'!$F274,0)</f>
        <v>501000</v>
      </c>
      <c r="I274" s="192">
        <f>IF(AND($F274&lt;&gt;0,LEFT('CHUNG TU'!$J265,LEN('CPSXKD 622'!I$10))='CPSXKD 622'!I$10),'CPSXKD 622'!$F274,0)</f>
        <v>0</v>
      </c>
      <c r="J274" s="192">
        <f>IF(AND($F274&lt;&gt;0,LEFT('CHUNG TU'!$J265,LEN('CPSXKD 622'!J$10))='CPSXKD 622'!J$10),'CPSXKD 622'!$F274,0)</f>
        <v>0</v>
      </c>
      <c r="K274" s="192">
        <f t="shared" si="5"/>
        <v>0</v>
      </c>
      <c r="L274" s="201" t="str">
        <f>IF(F274&lt;&gt;0,'CHUNG TU'!J265,"")</f>
        <v>3386</v>
      </c>
      <c r="M274" s="192">
        <f>IF(LEFT('CHUNG TU'!J265,3)='CPSXKD 622'!$H$7,'CHUNG TU'!$L265,0)</f>
        <v>0</v>
      </c>
      <c r="N274" s="192">
        <f>IF(M274&lt;&gt;0,'CHUNG TU'!I265,"")</f>
      </c>
    </row>
    <row r="275" spans="2:14" ht="12.75">
      <c r="B275" s="192" t="str">
        <f>IF($F275+$M275&lt;&gt;0,'CHUNG TU'!A266,"")</f>
        <v>30/10/2020</v>
      </c>
      <c r="C275" s="192" t="str">
        <f>IF($F275+$M275&lt;&gt;0,IF('CHUNG TU'!B266&lt;&gt;"",'CHUNG TU'!B266,IF('CHUNG TU'!C266&lt;&gt;"",'CHUNG TU'!C266,'CHUNG TU'!D266)),"")</f>
        <v>PKT10/093</v>
      </c>
      <c r="D275" s="192" t="str">
        <f>IF($F275+$M275&lt;&gt;0,'CHUNG TU'!F266,"")</f>
        <v>30/10/2020</v>
      </c>
      <c r="E275" s="192" t="str">
        <f>IF($F275+$M275&lt;&gt;0,'CHUNG TU'!H266,"")</f>
        <v>Trích BHTN của CNTTSX PX1.F02</v>
      </c>
      <c r="F275" s="192">
        <f>IF(LEFT('CHUNG TU'!I266,3)='CPSXKD 622'!$H$7,'CHUNG TU'!$L266,0)</f>
        <v>668000</v>
      </c>
      <c r="G275" s="192">
        <f>IF(AND($F275&lt;&gt;0,LEFT('CHUNG TU'!$J266,LEN('CPSXKD 622'!G$10))='CPSXKD 622'!G$10),'CPSXKD 622'!$F275,0)</f>
        <v>0</v>
      </c>
      <c r="H275" s="192">
        <f>IF(AND($F275&lt;&gt;0,LEFT('CHUNG TU'!$J266,LEN('CPSXKD 622'!H$10))='CPSXKD 622'!H$10),'CPSXKD 622'!$F275,0)</f>
        <v>668000</v>
      </c>
      <c r="I275" s="192">
        <f>IF(AND($F275&lt;&gt;0,LEFT('CHUNG TU'!$J266,LEN('CPSXKD 622'!I$10))='CPSXKD 622'!I$10),'CPSXKD 622'!$F275,0)</f>
        <v>0</v>
      </c>
      <c r="J275" s="192">
        <f>IF(AND($F275&lt;&gt;0,LEFT('CHUNG TU'!$J266,LEN('CPSXKD 622'!J$10))='CPSXKD 622'!J$10),'CPSXKD 622'!$F275,0)</f>
        <v>0</v>
      </c>
      <c r="K275" s="192">
        <f t="shared" si="5"/>
        <v>0</v>
      </c>
      <c r="L275" s="201" t="str">
        <f>IF(F275&lt;&gt;0,'CHUNG TU'!J266,"")</f>
        <v>3386</v>
      </c>
      <c r="M275" s="192">
        <f>IF(LEFT('CHUNG TU'!J266,3)='CPSXKD 622'!$H$7,'CHUNG TU'!$L266,0)</f>
        <v>0</v>
      </c>
      <c r="N275" s="192">
        <f>IF(M275&lt;&gt;0,'CHUNG TU'!I266,"")</f>
      </c>
    </row>
    <row r="276" spans="2:14" ht="12.75">
      <c r="B276" s="192" t="str">
        <f>IF($F276+$M276&lt;&gt;0,'CHUNG TU'!A267,"")</f>
        <v>30/10/2020</v>
      </c>
      <c r="C276" s="192" t="str">
        <f>IF($F276+$M276&lt;&gt;0,IF('CHUNG TU'!B267&lt;&gt;"",'CHUNG TU'!B267,IF('CHUNG TU'!C267&lt;&gt;"",'CHUNG TU'!C267,'CHUNG TU'!D267)),"")</f>
        <v>PKT10/094</v>
      </c>
      <c r="D276" s="192" t="str">
        <f>IF($F276+$M276&lt;&gt;0,'CHUNG TU'!F267,"")</f>
        <v>30/10/2020</v>
      </c>
      <c r="E276" s="192" t="str">
        <f>IF($F276+$M276&lt;&gt;0,'CHUNG TU'!H267,"")</f>
        <v>Trích BHTN của CNTTSX PX2.B</v>
      </c>
      <c r="F276" s="192">
        <f>IF(LEFT('CHUNG TU'!I267,3)='CPSXKD 622'!$H$7,'CHUNG TU'!$L267,0)</f>
        <v>247000</v>
      </c>
      <c r="G276" s="192">
        <f>IF(AND($F276&lt;&gt;0,LEFT('CHUNG TU'!$J267,LEN('CPSXKD 622'!G$10))='CPSXKD 622'!G$10),'CPSXKD 622'!$F276,0)</f>
        <v>0</v>
      </c>
      <c r="H276" s="192">
        <f>IF(AND($F276&lt;&gt;0,LEFT('CHUNG TU'!$J267,LEN('CPSXKD 622'!H$10))='CPSXKD 622'!H$10),'CPSXKD 622'!$F276,0)</f>
        <v>247000</v>
      </c>
      <c r="I276" s="192">
        <f>IF(AND($F276&lt;&gt;0,LEFT('CHUNG TU'!$J267,LEN('CPSXKD 622'!I$10))='CPSXKD 622'!I$10),'CPSXKD 622'!$F276,0)</f>
        <v>0</v>
      </c>
      <c r="J276" s="192">
        <f>IF(AND($F276&lt;&gt;0,LEFT('CHUNG TU'!$J267,LEN('CPSXKD 622'!J$10))='CPSXKD 622'!J$10),'CPSXKD 622'!$F276,0)</f>
        <v>0</v>
      </c>
      <c r="K276" s="192">
        <f t="shared" si="5"/>
        <v>0</v>
      </c>
      <c r="L276" s="201" t="str">
        <f>IF(F276&lt;&gt;0,'CHUNG TU'!J267,"")</f>
        <v>3386</v>
      </c>
      <c r="M276" s="192">
        <f>IF(LEFT('CHUNG TU'!J267,3)='CPSXKD 622'!$H$7,'CHUNG TU'!$L267,0)</f>
        <v>0</v>
      </c>
      <c r="N276" s="192">
        <f>IF(M276&lt;&gt;0,'CHUNG TU'!I267,"")</f>
      </c>
    </row>
    <row r="277" spans="2:14" ht="12.75">
      <c r="B277" s="192">
        <f>IF($F277+$M277&lt;&gt;0,'CHUNG TU'!A268,"")</f>
      </c>
      <c r="C277" s="192">
        <f>IF($F277+$M277&lt;&gt;0,IF('CHUNG TU'!B268&lt;&gt;"",'CHUNG TU'!B268,IF('CHUNG TU'!C268&lt;&gt;"",'CHUNG TU'!C268,'CHUNG TU'!D268)),"")</f>
      </c>
      <c r="D277" s="192">
        <f>IF($F277+$M277&lt;&gt;0,'CHUNG TU'!F268,"")</f>
      </c>
      <c r="E277" s="192">
        <f>IF($F277+$M277&lt;&gt;0,'CHUNG TU'!H268,"")</f>
      </c>
      <c r="F277" s="192">
        <f>IF(LEFT('CHUNG TU'!I268,3)='CPSXKD 622'!$H$7,'CHUNG TU'!$L268,0)</f>
        <v>0</v>
      </c>
      <c r="G277" s="192">
        <f>IF(AND($F277&lt;&gt;0,LEFT('CHUNG TU'!$J268,LEN('CPSXKD 622'!G$10))='CPSXKD 622'!G$10),'CPSXKD 622'!$F277,0)</f>
        <v>0</v>
      </c>
      <c r="H277" s="192">
        <f>IF(AND($F277&lt;&gt;0,LEFT('CHUNG TU'!$J268,LEN('CPSXKD 622'!H$10))='CPSXKD 622'!H$10),'CPSXKD 622'!$F277,0)</f>
        <v>0</v>
      </c>
      <c r="I277" s="192">
        <f>IF(AND($F277&lt;&gt;0,LEFT('CHUNG TU'!$J268,LEN('CPSXKD 622'!I$10))='CPSXKD 622'!I$10),'CPSXKD 622'!$F277,0)</f>
        <v>0</v>
      </c>
      <c r="J277" s="192">
        <f>IF(AND($F277&lt;&gt;0,LEFT('CHUNG TU'!$J268,LEN('CPSXKD 622'!J$10))='CPSXKD 622'!J$10),'CPSXKD 622'!$F277,0)</f>
        <v>0</v>
      </c>
      <c r="K277" s="192">
        <f t="shared" si="5"/>
        <v>0</v>
      </c>
      <c r="L277" s="201">
        <f>IF(F277&lt;&gt;0,'CHUNG TU'!J268,"")</f>
      </c>
      <c r="M277" s="192">
        <f>IF(LEFT('CHUNG TU'!J268,3)='CPSXKD 622'!$H$7,'CHUNG TU'!$L268,0)</f>
        <v>0</v>
      </c>
      <c r="N277" s="192">
        <f>IF(M277&lt;&gt;0,'CHUNG TU'!I268,"")</f>
      </c>
    </row>
    <row r="278" spans="2:14" ht="12.75">
      <c r="B278" s="192">
        <f>IF($F278+$M278&lt;&gt;0,'CHUNG TU'!A269,"")</f>
      </c>
      <c r="C278" s="192">
        <f>IF($F278+$M278&lt;&gt;0,IF('CHUNG TU'!B269&lt;&gt;"",'CHUNG TU'!B269,IF('CHUNG TU'!C269&lt;&gt;"",'CHUNG TU'!C269,'CHUNG TU'!D269)),"")</f>
      </c>
      <c r="D278" s="192">
        <f>IF($F278+$M278&lt;&gt;0,'CHUNG TU'!F269,"")</f>
      </c>
      <c r="E278" s="192">
        <f>IF($F278+$M278&lt;&gt;0,'CHUNG TU'!H269,"")</f>
      </c>
      <c r="F278" s="192">
        <f>IF(LEFT('CHUNG TU'!I269,3)='CPSXKD 622'!$H$7,'CHUNG TU'!$L269,0)</f>
        <v>0</v>
      </c>
      <c r="G278" s="192">
        <f>IF(AND($F278&lt;&gt;0,LEFT('CHUNG TU'!$J269,LEN('CPSXKD 622'!G$10))='CPSXKD 622'!G$10),'CPSXKD 622'!$F278,0)</f>
        <v>0</v>
      </c>
      <c r="H278" s="192">
        <f>IF(AND($F278&lt;&gt;0,LEFT('CHUNG TU'!$J269,LEN('CPSXKD 622'!H$10))='CPSXKD 622'!H$10),'CPSXKD 622'!$F278,0)</f>
        <v>0</v>
      </c>
      <c r="I278" s="192">
        <f>IF(AND($F278&lt;&gt;0,LEFT('CHUNG TU'!$J269,LEN('CPSXKD 622'!I$10))='CPSXKD 622'!I$10),'CPSXKD 622'!$F278,0)</f>
        <v>0</v>
      </c>
      <c r="J278" s="192">
        <f>IF(AND($F278&lt;&gt;0,LEFT('CHUNG TU'!$J269,LEN('CPSXKD 622'!J$10))='CPSXKD 622'!J$10),'CPSXKD 622'!$F278,0)</f>
        <v>0</v>
      </c>
      <c r="K278" s="192">
        <f t="shared" si="5"/>
        <v>0</v>
      </c>
      <c r="L278" s="201">
        <f>IF(F278&lt;&gt;0,'CHUNG TU'!J269,"")</f>
      </c>
      <c r="M278" s="192">
        <f>IF(LEFT('CHUNG TU'!J269,3)='CPSXKD 622'!$H$7,'CHUNG TU'!$L269,0)</f>
        <v>0</v>
      </c>
      <c r="N278" s="192">
        <f>IF(M278&lt;&gt;0,'CHUNG TU'!I269,"")</f>
      </c>
    </row>
    <row r="279" spans="2:14" ht="12.75">
      <c r="B279" s="192">
        <f>IF($F279+$M279&lt;&gt;0,'CHUNG TU'!A270,"")</f>
      </c>
      <c r="C279" s="192">
        <f>IF($F279+$M279&lt;&gt;0,IF('CHUNG TU'!B270&lt;&gt;"",'CHUNG TU'!B270,IF('CHUNG TU'!C270&lt;&gt;"",'CHUNG TU'!C270,'CHUNG TU'!D270)),"")</f>
      </c>
      <c r="D279" s="192">
        <f>IF($F279+$M279&lt;&gt;0,'CHUNG TU'!F270,"")</f>
      </c>
      <c r="E279" s="192">
        <f>IF($F279+$M279&lt;&gt;0,'CHUNG TU'!H270,"")</f>
      </c>
      <c r="F279" s="192">
        <f>IF(LEFT('CHUNG TU'!I270,3)='CPSXKD 622'!$H$7,'CHUNG TU'!$L270,0)</f>
        <v>0</v>
      </c>
      <c r="G279" s="192">
        <f>IF(AND($F279&lt;&gt;0,LEFT('CHUNG TU'!$J270,LEN('CPSXKD 622'!G$10))='CPSXKD 622'!G$10),'CPSXKD 622'!$F279,0)</f>
        <v>0</v>
      </c>
      <c r="H279" s="192">
        <f>IF(AND($F279&lt;&gt;0,LEFT('CHUNG TU'!$J270,LEN('CPSXKD 622'!H$10))='CPSXKD 622'!H$10),'CPSXKD 622'!$F279,0)</f>
        <v>0</v>
      </c>
      <c r="I279" s="192">
        <f>IF(AND($F279&lt;&gt;0,LEFT('CHUNG TU'!$J270,LEN('CPSXKD 622'!I$10))='CPSXKD 622'!I$10),'CPSXKD 622'!$F279,0)</f>
        <v>0</v>
      </c>
      <c r="J279" s="192">
        <f>IF(AND($F279&lt;&gt;0,LEFT('CHUNG TU'!$J270,LEN('CPSXKD 622'!J$10))='CPSXKD 622'!J$10),'CPSXKD 622'!$F279,0)</f>
        <v>0</v>
      </c>
      <c r="K279" s="192">
        <f t="shared" si="5"/>
        <v>0</v>
      </c>
      <c r="L279" s="201">
        <f>IF(F279&lt;&gt;0,'CHUNG TU'!J270,"")</f>
      </c>
      <c r="M279" s="192">
        <f>IF(LEFT('CHUNG TU'!J270,3)='CPSXKD 622'!$H$7,'CHUNG TU'!$L270,0)</f>
        <v>0</v>
      </c>
      <c r="N279" s="192">
        <f>IF(M279&lt;&gt;0,'CHUNG TU'!I270,"")</f>
      </c>
    </row>
    <row r="280" spans="2:14" ht="12.75">
      <c r="B280" s="192">
        <f>IF($F280+$M280&lt;&gt;0,'CHUNG TU'!A271,"")</f>
      </c>
      <c r="C280" s="192">
        <f>IF($F280+$M280&lt;&gt;0,IF('CHUNG TU'!B271&lt;&gt;"",'CHUNG TU'!B271,IF('CHUNG TU'!C271&lt;&gt;"",'CHUNG TU'!C271,'CHUNG TU'!D271)),"")</f>
      </c>
      <c r="D280" s="192">
        <f>IF($F280+$M280&lt;&gt;0,'CHUNG TU'!F271,"")</f>
      </c>
      <c r="E280" s="192">
        <f>IF($F280+$M280&lt;&gt;0,'CHUNG TU'!H271,"")</f>
      </c>
      <c r="F280" s="192">
        <f>IF(LEFT('CHUNG TU'!I271,3)='CPSXKD 622'!$H$7,'CHUNG TU'!$L271,0)</f>
        <v>0</v>
      </c>
      <c r="G280" s="192">
        <f>IF(AND($F280&lt;&gt;0,LEFT('CHUNG TU'!$J271,LEN('CPSXKD 622'!G$10))='CPSXKD 622'!G$10),'CPSXKD 622'!$F280,0)</f>
        <v>0</v>
      </c>
      <c r="H280" s="192">
        <f>IF(AND($F280&lt;&gt;0,LEFT('CHUNG TU'!$J271,LEN('CPSXKD 622'!H$10))='CPSXKD 622'!H$10),'CPSXKD 622'!$F280,0)</f>
        <v>0</v>
      </c>
      <c r="I280" s="192">
        <f>IF(AND($F280&lt;&gt;0,LEFT('CHUNG TU'!$J271,LEN('CPSXKD 622'!I$10))='CPSXKD 622'!I$10),'CPSXKD 622'!$F280,0)</f>
        <v>0</v>
      </c>
      <c r="J280" s="192">
        <f>IF(AND($F280&lt;&gt;0,LEFT('CHUNG TU'!$J271,LEN('CPSXKD 622'!J$10))='CPSXKD 622'!J$10),'CPSXKD 622'!$F280,0)</f>
        <v>0</v>
      </c>
      <c r="K280" s="192">
        <f t="shared" si="5"/>
        <v>0</v>
      </c>
      <c r="L280" s="201">
        <f>IF(F280&lt;&gt;0,'CHUNG TU'!J271,"")</f>
      </c>
      <c r="M280" s="192">
        <f>IF(LEFT('CHUNG TU'!J271,3)='CPSXKD 622'!$H$7,'CHUNG TU'!$L271,0)</f>
        <v>0</v>
      </c>
      <c r="N280" s="192">
        <f>IF(M280&lt;&gt;0,'CHUNG TU'!I271,"")</f>
      </c>
    </row>
    <row r="281" spans="2:14" ht="12.75">
      <c r="B281" s="192">
        <f>IF($F281+$M281&lt;&gt;0,'CHUNG TU'!A272,"")</f>
      </c>
      <c r="C281" s="192">
        <f>IF($F281+$M281&lt;&gt;0,IF('CHUNG TU'!B272&lt;&gt;"",'CHUNG TU'!B272,IF('CHUNG TU'!C272&lt;&gt;"",'CHUNG TU'!C272,'CHUNG TU'!D272)),"")</f>
      </c>
      <c r="D281" s="192">
        <f>IF($F281+$M281&lt;&gt;0,'CHUNG TU'!F272,"")</f>
      </c>
      <c r="E281" s="192">
        <f>IF($F281+$M281&lt;&gt;0,'CHUNG TU'!H272,"")</f>
      </c>
      <c r="F281" s="192">
        <f>IF(LEFT('CHUNG TU'!I272,3)='CPSXKD 622'!$H$7,'CHUNG TU'!$L272,0)</f>
        <v>0</v>
      </c>
      <c r="G281" s="192">
        <f>IF(AND($F281&lt;&gt;0,LEFT('CHUNG TU'!$J272,LEN('CPSXKD 622'!G$10))='CPSXKD 622'!G$10),'CPSXKD 622'!$F281,0)</f>
        <v>0</v>
      </c>
      <c r="H281" s="192">
        <f>IF(AND($F281&lt;&gt;0,LEFT('CHUNG TU'!$J272,LEN('CPSXKD 622'!H$10))='CPSXKD 622'!H$10),'CPSXKD 622'!$F281,0)</f>
        <v>0</v>
      </c>
      <c r="I281" s="192">
        <f>IF(AND($F281&lt;&gt;0,LEFT('CHUNG TU'!$J272,LEN('CPSXKD 622'!I$10))='CPSXKD 622'!I$10),'CPSXKD 622'!$F281,0)</f>
        <v>0</v>
      </c>
      <c r="J281" s="192">
        <f>IF(AND($F281&lt;&gt;0,LEFT('CHUNG TU'!$J272,LEN('CPSXKD 622'!J$10))='CPSXKD 622'!J$10),'CPSXKD 622'!$F281,0)</f>
        <v>0</v>
      </c>
      <c r="K281" s="192">
        <f t="shared" si="5"/>
        <v>0</v>
      </c>
      <c r="L281" s="201">
        <f>IF(F281&lt;&gt;0,'CHUNG TU'!J272,"")</f>
      </c>
      <c r="M281" s="192">
        <f>IF(LEFT('CHUNG TU'!J272,3)='CPSXKD 622'!$H$7,'CHUNG TU'!$L272,0)</f>
        <v>0</v>
      </c>
      <c r="N281" s="192">
        <f>IF(M281&lt;&gt;0,'CHUNG TU'!I272,"")</f>
      </c>
    </row>
    <row r="282" spans="2:14" ht="12.75">
      <c r="B282" s="192">
        <f>IF($F282+$M282&lt;&gt;0,'CHUNG TU'!A273,"")</f>
      </c>
      <c r="C282" s="192">
        <f>IF($F282+$M282&lt;&gt;0,IF('CHUNG TU'!B273&lt;&gt;"",'CHUNG TU'!B273,IF('CHUNG TU'!C273&lt;&gt;"",'CHUNG TU'!C273,'CHUNG TU'!D273)),"")</f>
      </c>
      <c r="D282" s="192">
        <f>IF($F282+$M282&lt;&gt;0,'CHUNG TU'!F273,"")</f>
      </c>
      <c r="E282" s="192">
        <f>IF($F282+$M282&lt;&gt;0,'CHUNG TU'!H273,"")</f>
      </c>
      <c r="F282" s="192">
        <f>IF(LEFT('CHUNG TU'!I273,3)='CPSXKD 622'!$H$7,'CHUNG TU'!$L273,0)</f>
        <v>0</v>
      </c>
      <c r="G282" s="192">
        <f>IF(AND($F282&lt;&gt;0,LEFT('CHUNG TU'!$J273,LEN('CPSXKD 622'!G$10))='CPSXKD 622'!G$10),'CPSXKD 622'!$F282,0)</f>
        <v>0</v>
      </c>
      <c r="H282" s="192">
        <f>IF(AND($F282&lt;&gt;0,LEFT('CHUNG TU'!$J273,LEN('CPSXKD 622'!H$10))='CPSXKD 622'!H$10),'CPSXKD 622'!$F282,0)</f>
        <v>0</v>
      </c>
      <c r="I282" s="192">
        <f>IF(AND($F282&lt;&gt;0,LEFT('CHUNG TU'!$J273,LEN('CPSXKD 622'!I$10))='CPSXKD 622'!I$10),'CPSXKD 622'!$F282,0)</f>
        <v>0</v>
      </c>
      <c r="J282" s="192">
        <f>IF(AND($F282&lt;&gt;0,LEFT('CHUNG TU'!$J273,LEN('CPSXKD 622'!J$10))='CPSXKD 622'!J$10),'CPSXKD 622'!$F282,0)</f>
        <v>0</v>
      </c>
      <c r="K282" s="192">
        <f t="shared" si="5"/>
        <v>0</v>
      </c>
      <c r="L282" s="201">
        <f>IF(F282&lt;&gt;0,'CHUNG TU'!J273,"")</f>
      </c>
      <c r="M282" s="192">
        <f>IF(LEFT('CHUNG TU'!J273,3)='CPSXKD 622'!$H$7,'CHUNG TU'!$L273,0)</f>
        <v>0</v>
      </c>
      <c r="N282" s="192">
        <f>IF(M282&lt;&gt;0,'CHUNG TU'!I273,"")</f>
      </c>
    </row>
    <row r="283" spans="2:14" ht="12.75">
      <c r="B283" s="192">
        <f>IF($F283+$M283&lt;&gt;0,'CHUNG TU'!A274,"")</f>
      </c>
      <c r="C283" s="192">
        <f>IF($F283+$M283&lt;&gt;0,IF('CHUNG TU'!B274&lt;&gt;"",'CHUNG TU'!B274,IF('CHUNG TU'!C274&lt;&gt;"",'CHUNG TU'!C274,'CHUNG TU'!D274)),"")</f>
      </c>
      <c r="D283" s="192">
        <f>IF($F283+$M283&lt;&gt;0,'CHUNG TU'!F274,"")</f>
      </c>
      <c r="E283" s="192">
        <f>IF($F283+$M283&lt;&gt;0,'CHUNG TU'!H274,"")</f>
      </c>
      <c r="F283" s="192">
        <f>IF(LEFT('CHUNG TU'!I274,3)='CPSXKD 622'!$H$7,'CHUNG TU'!$L274,0)</f>
        <v>0</v>
      </c>
      <c r="G283" s="192">
        <f>IF(AND($F283&lt;&gt;0,LEFT('CHUNG TU'!$J274,LEN('CPSXKD 622'!G$10))='CPSXKD 622'!G$10),'CPSXKD 622'!$F283,0)</f>
        <v>0</v>
      </c>
      <c r="H283" s="192">
        <f>IF(AND($F283&lt;&gt;0,LEFT('CHUNG TU'!$J274,LEN('CPSXKD 622'!H$10))='CPSXKD 622'!H$10),'CPSXKD 622'!$F283,0)</f>
        <v>0</v>
      </c>
      <c r="I283" s="192">
        <f>IF(AND($F283&lt;&gt;0,LEFT('CHUNG TU'!$J274,LEN('CPSXKD 622'!I$10))='CPSXKD 622'!I$10),'CPSXKD 622'!$F283,0)</f>
        <v>0</v>
      </c>
      <c r="J283" s="192">
        <f>IF(AND($F283&lt;&gt;0,LEFT('CHUNG TU'!$J274,LEN('CPSXKD 622'!J$10))='CPSXKD 622'!J$10),'CPSXKD 622'!$F283,0)</f>
        <v>0</v>
      </c>
      <c r="K283" s="192">
        <f t="shared" si="5"/>
        <v>0</v>
      </c>
      <c r="L283" s="201">
        <f>IF(F283&lt;&gt;0,'CHUNG TU'!J274,"")</f>
      </c>
      <c r="M283" s="192">
        <f>IF(LEFT('CHUNG TU'!J274,3)='CPSXKD 622'!$H$7,'CHUNG TU'!$L274,0)</f>
        <v>0</v>
      </c>
      <c r="N283" s="192">
        <f>IF(M283&lt;&gt;0,'CHUNG TU'!I274,"")</f>
      </c>
    </row>
    <row r="284" spans="2:14" ht="12.75">
      <c r="B284" s="192">
        <f>IF($F284+$M284&lt;&gt;0,'CHUNG TU'!A275,"")</f>
      </c>
      <c r="C284" s="192">
        <f>IF($F284+$M284&lt;&gt;0,IF('CHUNG TU'!B275&lt;&gt;"",'CHUNG TU'!B275,IF('CHUNG TU'!C275&lt;&gt;"",'CHUNG TU'!C275,'CHUNG TU'!D275)),"")</f>
      </c>
      <c r="D284" s="192">
        <f>IF($F284+$M284&lt;&gt;0,'CHUNG TU'!F275,"")</f>
      </c>
      <c r="E284" s="192">
        <f>IF($F284+$M284&lt;&gt;0,'CHUNG TU'!H275,"")</f>
      </c>
      <c r="F284" s="192">
        <f>IF(LEFT('CHUNG TU'!I275,3)='CPSXKD 622'!$H$7,'CHUNG TU'!$L275,0)</f>
        <v>0</v>
      </c>
      <c r="G284" s="192">
        <f>IF(AND($F284&lt;&gt;0,LEFT('CHUNG TU'!$J275,LEN('CPSXKD 622'!G$10))='CPSXKD 622'!G$10),'CPSXKD 622'!$F284,0)</f>
        <v>0</v>
      </c>
      <c r="H284" s="192">
        <f>IF(AND($F284&lt;&gt;0,LEFT('CHUNG TU'!$J275,LEN('CPSXKD 622'!H$10))='CPSXKD 622'!H$10),'CPSXKD 622'!$F284,0)</f>
        <v>0</v>
      </c>
      <c r="I284" s="192">
        <f>IF(AND($F284&lt;&gt;0,LEFT('CHUNG TU'!$J275,LEN('CPSXKD 622'!I$10))='CPSXKD 622'!I$10),'CPSXKD 622'!$F284,0)</f>
        <v>0</v>
      </c>
      <c r="J284" s="192">
        <f>IF(AND($F284&lt;&gt;0,LEFT('CHUNG TU'!$J275,LEN('CPSXKD 622'!J$10))='CPSXKD 622'!J$10),'CPSXKD 622'!$F284,0)</f>
        <v>0</v>
      </c>
      <c r="K284" s="192">
        <f t="shared" si="5"/>
        <v>0</v>
      </c>
      <c r="L284" s="201">
        <f>IF(F284&lt;&gt;0,'CHUNG TU'!J275,"")</f>
      </c>
      <c r="M284" s="192">
        <f>IF(LEFT('CHUNG TU'!J275,3)='CPSXKD 622'!$H$7,'CHUNG TU'!$L275,0)</f>
        <v>0</v>
      </c>
      <c r="N284" s="192">
        <f>IF(M284&lt;&gt;0,'CHUNG TU'!I275,"")</f>
      </c>
    </row>
    <row r="285" spans="2:14" ht="12.75">
      <c r="B285" s="192">
        <f>IF($F285+$M285&lt;&gt;0,'CHUNG TU'!A276,"")</f>
      </c>
      <c r="C285" s="192">
        <f>IF($F285+$M285&lt;&gt;0,IF('CHUNG TU'!B276&lt;&gt;"",'CHUNG TU'!B276,IF('CHUNG TU'!C276&lt;&gt;"",'CHUNG TU'!C276,'CHUNG TU'!D276)),"")</f>
      </c>
      <c r="D285" s="192">
        <f>IF($F285+$M285&lt;&gt;0,'CHUNG TU'!F276,"")</f>
      </c>
      <c r="E285" s="192">
        <f>IF($F285+$M285&lt;&gt;0,'CHUNG TU'!H276,"")</f>
      </c>
      <c r="F285" s="192">
        <f>IF(LEFT('CHUNG TU'!I276,3)='CPSXKD 622'!$H$7,'CHUNG TU'!$L276,0)</f>
        <v>0</v>
      </c>
      <c r="G285" s="192">
        <f>IF(AND($F285&lt;&gt;0,LEFT('CHUNG TU'!$J276,LEN('CPSXKD 622'!G$10))='CPSXKD 622'!G$10),'CPSXKD 622'!$F285,0)</f>
        <v>0</v>
      </c>
      <c r="H285" s="192">
        <f>IF(AND($F285&lt;&gt;0,LEFT('CHUNG TU'!$J276,LEN('CPSXKD 622'!H$10))='CPSXKD 622'!H$10),'CPSXKD 622'!$F285,0)</f>
        <v>0</v>
      </c>
      <c r="I285" s="192">
        <f>IF(AND($F285&lt;&gt;0,LEFT('CHUNG TU'!$J276,LEN('CPSXKD 622'!I$10))='CPSXKD 622'!I$10),'CPSXKD 622'!$F285,0)</f>
        <v>0</v>
      </c>
      <c r="J285" s="192">
        <f>IF(AND($F285&lt;&gt;0,LEFT('CHUNG TU'!$J276,LEN('CPSXKD 622'!J$10))='CPSXKD 622'!J$10),'CPSXKD 622'!$F285,0)</f>
        <v>0</v>
      </c>
      <c r="K285" s="192">
        <f t="shared" si="5"/>
        <v>0</v>
      </c>
      <c r="L285" s="201">
        <f>IF(F285&lt;&gt;0,'CHUNG TU'!J276,"")</f>
      </c>
      <c r="M285" s="192">
        <f>IF(LEFT('CHUNG TU'!J276,3)='CPSXKD 622'!$H$7,'CHUNG TU'!$L276,0)</f>
        <v>0</v>
      </c>
      <c r="N285" s="192">
        <f>IF(M285&lt;&gt;0,'CHUNG TU'!I276,"")</f>
      </c>
    </row>
    <row r="286" spans="2:14" ht="12.75">
      <c r="B286" s="192">
        <f>IF($F286+$M286&lt;&gt;0,'CHUNG TU'!A277,"")</f>
      </c>
      <c r="C286" s="192">
        <f>IF($F286+$M286&lt;&gt;0,IF('CHUNG TU'!B277&lt;&gt;"",'CHUNG TU'!B277,IF('CHUNG TU'!C277&lt;&gt;"",'CHUNG TU'!C277,'CHUNG TU'!D277)),"")</f>
      </c>
      <c r="D286" s="192">
        <f>IF($F286+$M286&lt;&gt;0,'CHUNG TU'!F277,"")</f>
      </c>
      <c r="E286" s="192">
        <f>IF($F286+$M286&lt;&gt;0,'CHUNG TU'!H277,"")</f>
      </c>
      <c r="F286" s="192">
        <f>IF(LEFT('CHUNG TU'!I277,3)='CPSXKD 622'!$H$7,'CHUNG TU'!$L277,0)</f>
        <v>0</v>
      </c>
      <c r="G286" s="192">
        <f>IF(AND($F286&lt;&gt;0,LEFT('CHUNG TU'!$J277,LEN('CPSXKD 622'!G$10))='CPSXKD 622'!G$10),'CPSXKD 622'!$F286,0)</f>
        <v>0</v>
      </c>
      <c r="H286" s="192">
        <f>IF(AND($F286&lt;&gt;0,LEFT('CHUNG TU'!$J277,LEN('CPSXKD 622'!H$10))='CPSXKD 622'!H$10),'CPSXKD 622'!$F286,0)</f>
        <v>0</v>
      </c>
      <c r="I286" s="192">
        <f>IF(AND($F286&lt;&gt;0,LEFT('CHUNG TU'!$J277,LEN('CPSXKD 622'!I$10))='CPSXKD 622'!I$10),'CPSXKD 622'!$F286,0)</f>
        <v>0</v>
      </c>
      <c r="J286" s="192">
        <f>IF(AND($F286&lt;&gt;0,LEFT('CHUNG TU'!$J277,LEN('CPSXKD 622'!J$10))='CPSXKD 622'!J$10),'CPSXKD 622'!$F286,0)</f>
        <v>0</v>
      </c>
      <c r="K286" s="192">
        <f t="shared" si="5"/>
        <v>0</v>
      </c>
      <c r="L286" s="201">
        <f>IF(F286&lt;&gt;0,'CHUNG TU'!J277,"")</f>
      </c>
      <c r="M286" s="192">
        <f>IF(LEFT('CHUNG TU'!J277,3)='CPSXKD 622'!$H$7,'CHUNG TU'!$L277,0)</f>
        <v>0</v>
      </c>
      <c r="N286" s="192">
        <f>IF(M286&lt;&gt;0,'CHUNG TU'!I277,"")</f>
      </c>
    </row>
    <row r="287" spans="2:14" ht="12.75">
      <c r="B287" s="192">
        <f>IF($F287+$M287&lt;&gt;0,'CHUNG TU'!A278,"")</f>
      </c>
      <c r="C287" s="192">
        <f>IF($F287+$M287&lt;&gt;0,IF('CHUNG TU'!B278&lt;&gt;"",'CHUNG TU'!B278,IF('CHUNG TU'!C278&lt;&gt;"",'CHUNG TU'!C278,'CHUNG TU'!D278)),"")</f>
      </c>
      <c r="D287" s="192">
        <f>IF($F287+$M287&lt;&gt;0,'CHUNG TU'!F278,"")</f>
      </c>
      <c r="E287" s="192">
        <f>IF($F287+$M287&lt;&gt;0,'CHUNG TU'!H278,"")</f>
      </c>
      <c r="F287" s="192">
        <f>IF(LEFT('CHUNG TU'!I278,3)='CPSXKD 622'!$H$7,'CHUNG TU'!$L278,0)</f>
        <v>0</v>
      </c>
      <c r="G287" s="192">
        <f>IF(AND($F287&lt;&gt;0,LEFT('CHUNG TU'!$J278,LEN('CPSXKD 622'!G$10))='CPSXKD 622'!G$10),'CPSXKD 622'!$F287,0)</f>
        <v>0</v>
      </c>
      <c r="H287" s="192">
        <f>IF(AND($F287&lt;&gt;0,LEFT('CHUNG TU'!$J278,LEN('CPSXKD 622'!H$10))='CPSXKD 622'!H$10),'CPSXKD 622'!$F287,0)</f>
        <v>0</v>
      </c>
      <c r="I287" s="192">
        <f>IF(AND($F287&lt;&gt;0,LEFT('CHUNG TU'!$J278,LEN('CPSXKD 622'!I$10))='CPSXKD 622'!I$10),'CPSXKD 622'!$F287,0)</f>
        <v>0</v>
      </c>
      <c r="J287" s="192">
        <f>IF(AND($F287&lt;&gt;0,LEFT('CHUNG TU'!$J278,LEN('CPSXKD 622'!J$10))='CPSXKD 622'!J$10),'CPSXKD 622'!$F287,0)</f>
        <v>0</v>
      </c>
      <c r="K287" s="192">
        <f t="shared" si="5"/>
        <v>0</v>
      </c>
      <c r="L287" s="201">
        <f>IF(F287&lt;&gt;0,'CHUNG TU'!J278,"")</f>
      </c>
      <c r="M287" s="192">
        <f>IF(LEFT('CHUNG TU'!J278,3)='CPSXKD 622'!$H$7,'CHUNG TU'!$L278,0)</f>
        <v>0</v>
      </c>
      <c r="N287" s="192">
        <f>IF(M287&lt;&gt;0,'CHUNG TU'!I278,"")</f>
      </c>
    </row>
    <row r="288" spans="2:14" ht="12.75">
      <c r="B288" s="192">
        <f>IF($F288+$M288&lt;&gt;0,'CHUNG TU'!A279,"")</f>
      </c>
      <c r="C288" s="192">
        <f>IF($F288+$M288&lt;&gt;0,IF('CHUNG TU'!B279&lt;&gt;"",'CHUNG TU'!B279,IF('CHUNG TU'!C279&lt;&gt;"",'CHUNG TU'!C279,'CHUNG TU'!D279)),"")</f>
      </c>
      <c r="D288" s="192">
        <f>IF($F288+$M288&lt;&gt;0,'CHUNG TU'!F279,"")</f>
      </c>
      <c r="E288" s="192">
        <f>IF($F288+$M288&lt;&gt;0,'CHUNG TU'!H279,"")</f>
      </c>
      <c r="F288" s="192">
        <f>IF(LEFT('CHUNG TU'!I279,3)='CPSXKD 622'!$H$7,'CHUNG TU'!$L279,0)</f>
        <v>0</v>
      </c>
      <c r="G288" s="192">
        <f>IF(AND($F288&lt;&gt;0,LEFT('CHUNG TU'!$J279,LEN('CPSXKD 622'!G$10))='CPSXKD 622'!G$10),'CPSXKD 622'!$F288,0)</f>
        <v>0</v>
      </c>
      <c r="H288" s="192">
        <f>IF(AND($F288&lt;&gt;0,LEFT('CHUNG TU'!$J279,LEN('CPSXKD 622'!H$10))='CPSXKD 622'!H$10),'CPSXKD 622'!$F288,0)</f>
        <v>0</v>
      </c>
      <c r="I288" s="192">
        <f>IF(AND($F288&lt;&gt;0,LEFT('CHUNG TU'!$J279,LEN('CPSXKD 622'!I$10))='CPSXKD 622'!I$10),'CPSXKD 622'!$F288,0)</f>
        <v>0</v>
      </c>
      <c r="J288" s="192">
        <f>IF(AND($F288&lt;&gt;0,LEFT('CHUNG TU'!$J279,LEN('CPSXKD 622'!J$10))='CPSXKD 622'!J$10),'CPSXKD 622'!$F288,0)</f>
        <v>0</v>
      </c>
      <c r="K288" s="192">
        <f t="shared" si="5"/>
        <v>0</v>
      </c>
      <c r="L288" s="201">
        <f>IF(F288&lt;&gt;0,'CHUNG TU'!J279,"")</f>
      </c>
      <c r="M288" s="192">
        <f>IF(LEFT('CHUNG TU'!J279,3)='CPSXKD 622'!$H$7,'CHUNG TU'!$L279,0)</f>
        <v>0</v>
      </c>
      <c r="N288" s="192">
        <f>IF(M288&lt;&gt;0,'CHUNG TU'!I279,"")</f>
      </c>
    </row>
    <row r="289" spans="2:14" ht="12.75">
      <c r="B289" s="192">
        <f>IF($F289+$M289&lt;&gt;0,'CHUNG TU'!A280,"")</f>
      </c>
      <c r="C289" s="192">
        <f>IF($F289+$M289&lt;&gt;0,IF('CHUNG TU'!B280&lt;&gt;"",'CHUNG TU'!B280,IF('CHUNG TU'!C280&lt;&gt;"",'CHUNG TU'!C280,'CHUNG TU'!D280)),"")</f>
      </c>
      <c r="D289" s="192">
        <f>IF($F289+$M289&lt;&gt;0,'CHUNG TU'!F280,"")</f>
      </c>
      <c r="E289" s="192">
        <f>IF($F289+$M289&lt;&gt;0,'CHUNG TU'!H280,"")</f>
      </c>
      <c r="F289" s="192">
        <f>IF(LEFT('CHUNG TU'!I280,3)='CPSXKD 622'!$H$7,'CHUNG TU'!$L280,0)</f>
        <v>0</v>
      </c>
      <c r="G289" s="192">
        <f>IF(AND($F289&lt;&gt;0,LEFT('CHUNG TU'!$J280,LEN('CPSXKD 622'!G$10))='CPSXKD 622'!G$10),'CPSXKD 622'!$F289,0)</f>
        <v>0</v>
      </c>
      <c r="H289" s="192">
        <f>IF(AND($F289&lt;&gt;0,LEFT('CHUNG TU'!$J280,LEN('CPSXKD 622'!H$10))='CPSXKD 622'!H$10),'CPSXKD 622'!$F289,0)</f>
        <v>0</v>
      </c>
      <c r="I289" s="192">
        <f>IF(AND($F289&lt;&gt;0,LEFT('CHUNG TU'!$J280,LEN('CPSXKD 622'!I$10))='CPSXKD 622'!I$10),'CPSXKD 622'!$F289,0)</f>
        <v>0</v>
      </c>
      <c r="J289" s="192">
        <f>IF(AND($F289&lt;&gt;0,LEFT('CHUNG TU'!$J280,LEN('CPSXKD 622'!J$10))='CPSXKD 622'!J$10),'CPSXKD 622'!$F289,0)</f>
        <v>0</v>
      </c>
      <c r="K289" s="192">
        <f t="shared" si="5"/>
        <v>0</v>
      </c>
      <c r="L289" s="201">
        <f>IF(F289&lt;&gt;0,'CHUNG TU'!J280,"")</f>
      </c>
      <c r="M289" s="192">
        <f>IF(LEFT('CHUNG TU'!J280,3)='CPSXKD 622'!$H$7,'CHUNG TU'!$L280,0)</f>
        <v>0</v>
      </c>
      <c r="N289" s="192">
        <f>IF(M289&lt;&gt;0,'CHUNG TU'!I280,"")</f>
      </c>
    </row>
    <row r="290" spans="2:14" ht="12.75">
      <c r="B290" s="192">
        <f>IF($F290+$M290&lt;&gt;0,'CHUNG TU'!A281,"")</f>
      </c>
      <c r="C290" s="192">
        <f>IF($F290+$M290&lt;&gt;0,IF('CHUNG TU'!B281&lt;&gt;"",'CHUNG TU'!B281,IF('CHUNG TU'!C281&lt;&gt;"",'CHUNG TU'!C281,'CHUNG TU'!D281)),"")</f>
      </c>
      <c r="D290" s="192">
        <f>IF($F290+$M290&lt;&gt;0,'CHUNG TU'!F281,"")</f>
      </c>
      <c r="E290" s="192">
        <f>IF($F290+$M290&lt;&gt;0,'CHUNG TU'!H281,"")</f>
      </c>
      <c r="F290" s="192">
        <f>IF(LEFT('CHUNG TU'!I281,3)='CPSXKD 622'!$H$7,'CHUNG TU'!$L281,0)</f>
        <v>0</v>
      </c>
      <c r="G290" s="192">
        <f>IF(AND($F290&lt;&gt;0,LEFT('CHUNG TU'!$J281,LEN('CPSXKD 622'!G$10))='CPSXKD 622'!G$10),'CPSXKD 622'!$F290,0)</f>
        <v>0</v>
      </c>
      <c r="H290" s="192">
        <f>IF(AND($F290&lt;&gt;0,LEFT('CHUNG TU'!$J281,LEN('CPSXKD 622'!H$10))='CPSXKD 622'!H$10),'CPSXKD 622'!$F290,0)</f>
        <v>0</v>
      </c>
      <c r="I290" s="192">
        <f>IF(AND($F290&lt;&gt;0,LEFT('CHUNG TU'!$J281,LEN('CPSXKD 622'!I$10))='CPSXKD 622'!I$10),'CPSXKD 622'!$F290,0)</f>
        <v>0</v>
      </c>
      <c r="J290" s="192">
        <f>IF(AND($F290&lt;&gt;0,LEFT('CHUNG TU'!$J281,LEN('CPSXKD 622'!J$10))='CPSXKD 622'!J$10),'CPSXKD 622'!$F290,0)</f>
        <v>0</v>
      </c>
      <c r="K290" s="192">
        <f t="shared" si="5"/>
        <v>0</v>
      </c>
      <c r="L290" s="201">
        <f>IF(F290&lt;&gt;0,'CHUNG TU'!J281,"")</f>
      </c>
      <c r="M290" s="192">
        <f>IF(LEFT('CHUNG TU'!J281,3)='CPSXKD 622'!$H$7,'CHUNG TU'!$L281,0)</f>
        <v>0</v>
      </c>
      <c r="N290" s="192">
        <f>IF(M290&lt;&gt;0,'CHUNG TU'!I281,"")</f>
      </c>
    </row>
    <row r="291" spans="2:14" ht="12.75">
      <c r="B291" s="192">
        <f>IF($F291+$M291&lt;&gt;0,'CHUNG TU'!A282,"")</f>
      </c>
      <c r="C291" s="192">
        <f>IF($F291+$M291&lt;&gt;0,IF('CHUNG TU'!B282&lt;&gt;"",'CHUNG TU'!B282,IF('CHUNG TU'!C282&lt;&gt;"",'CHUNG TU'!C282,'CHUNG TU'!D282)),"")</f>
      </c>
      <c r="D291" s="192">
        <f>IF($F291+$M291&lt;&gt;0,'CHUNG TU'!F282,"")</f>
      </c>
      <c r="E291" s="192">
        <f>IF($F291+$M291&lt;&gt;0,'CHUNG TU'!H282,"")</f>
      </c>
      <c r="F291" s="192">
        <f>IF(LEFT('CHUNG TU'!I282,3)='CPSXKD 622'!$H$7,'CHUNG TU'!$L282,0)</f>
        <v>0</v>
      </c>
      <c r="G291" s="192">
        <f>IF(AND($F291&lt;&gt;0,LEFT('CHUNG TU'!$J282,LEN('CPSXKD 622'!G$10))='CPSXKD 622'!G$10),'CPSXKD 622'!$F291,0)</f>
        <v>0</v>
      </c>
      <c r="H291" s="192">
        <f>IF(AND($F291&lt;&gt;0,LEFT('CHUNG TU'!$J282,LEN('CPSXKD 622'!H$10))='CPSXKD 622'!H$10),'CPSXKD 622'!$F291,0)</f>
        <v>0</v>
      </c>
      <c r="I291" s="192">
        <f>IF(AND($F291&lt;&gt;0,LEFT('CHUNG TU'!$J282,LEN('CPSXKD 622'!I$10))='CPSXKD 622'!I$10),'CPSXKD 622'!$F291,0)</f>
        <v>0</v>
      </c>
      <c r="J291" s="192">
        <f>IF(AND($F291&lt;&gt;0,LEFT('CHUNG TU'!$J282,LEN('CPSXKD 622'!J$10))='CPSXKD 622'!J$10),'CPSXKD 622'!$F291,0)</f>
        <v>0</v>
      </c>
      <c r="K291" s="192">
        <f t="shared" si="5"/>
        <v>0</v>
      </c>
      <c r="L291" s="201">
        <f>IF(F291&lt;&gt;0,'CHUNG TU'!J282,"")</f>
      </c>
      <c r="M291" s="192">
        <f>IF(LEFT('CHUNG TU'!J282,3)='CPSXKD 622'!$H$7,'CHUNG TU'!$L282,0)</f>
        <v>0</v>
      </c>
      <c r="N291" s="192">
        <f>IF(M291&lt;&gt;0,'CHUNG TU'!I282,"")</f>
      </c>
    </row>
    <row r="292" spans="2:14" ht="12.75">
      <c r="B292" s="192">
        <f>IF($F292+$M292&lt;&gt;0,'CHUNG TU'!A283,"")</f>
      </c>
      <c r="C292" s="192">
        <f>IF($F292+$M292&lt;&gt;0,IF('CHUNG TU'!B283&lt;&gt;"",'CHUNG TU'!B283,IF('CHUNG TU'!C283&lt;&gt;"",'CHUNG TU'!C283,'CHUNG TU'!D283)),"")</f>
      </c>
      <c r="D292" s="192">
        <f>IF($F292+$M292&lt;&gt;0,'CHUNG TU'!F283,"")</f>
      </c>
      <c r="E292" s="192">
        <f>IF($F292+$M292&lt;&gt;0,'CHUNG TU'!H283,"")</f>
      </c>
      <c r="F292" s="192">
        <f>IF(LEFT('CHUNG TU'!I283,3)='CPSXKD 622'!$H$7,'CHUNG TU'!$L283,0)</f>
        <v>0</v>
      </c>
      <c r="G292" s="192">
        <f>IF(AND($F292&lt;&gt;0,LEFT('CHUNG TU'!$J283,LEN('CPSXKD 622'!G$10))='CPSXKD 622'!G$10),'CPSXKD 622'!$F292,0)</f>
        <v>0</v>
      </c>
      <c r="H292" s="192">
        <f>IF(AND($F292&lt;&gt;0,LEFT('CHUNG TU'!$J283,LEN('CPSXKD 622'!H$10))='CPSXKD 622'!H$10),'CPSXKD 622'!$F292,0)</f>
        <v>0</v>
      </c>
      <c r="I292" s="192">
        <f>IF(AND($F292&lt;&gt;0,LEFT('CHUNG TU'!$J283,LEN('CPSXKD 622'!I$10))='CPSXKD 622'!I$10),'CPSXKD 622'!$F292,0)</f>
        <v>0</v>
      </c>
      <c r="J292" s="192">
        <f>IF(AND($F292&lt;&gt;0,LEFT('CHUNG TU'!$J283,LEN('CPSXKD 622'!J$10))='CPSXKD 622'!J$10),'CPSXKD 622'!$F292,0)</f>
        <v>0</v>
      </c>
      <c r="K292" s="192">
        <f t="shared" si="5"/>
        <v>0</v>
      </c>
      <c r="L292" s="201">
        <f>IF(F292&lt;&gt;0,'CHUNG TU'!J283,"")</f>
      </c>
      <c r="M292" s="192">
        <f>IF(LEFT('CHUNG TU'!J283,3)='CPSXKD 622'!$H$7,'CHUNG TU'!$L283,0)</f>
        <v>0</v>
      </c>
      <c r="N292" s="192">
        <f>IF(M292&lt;&gt;0,'CHUNG TU'!I283,"")</f>
      </c>
    </row>
    <row r="293" spans="2:14" ht="12.75">
      <c r="B293" s="192">
        <f>IF($F293+$M293&lt;&gt;0,'CHUNG TU'!A284,"")</f>
      </c>
      <c r="C293" s="192">
        <f>IF($F293+$M293&lt;&gt;0,IF('CHUNG TU'!B284&lt;&gt;"",'CHUNG TU'!B284,IF('CHUNG TU'!C284&lt;&gt;"",'CHUNG TU'!C284,'CHUNG TU'!D284)),"")</f>
      </c>
      <c r="D293" s="192">
        <f>IF($F293+$M293&lt;&gt;0,'CHUNG TU'!F284,"")</f>
      </c>
      <c r="E293" s="192">
        <f>IF($F293+$M293&lt;&gt;0,'CHUNG TU'!H284,"")</f>
      </c>
      <c r="F293" s="192">
        <f>IF(LEFT('CHUNG TU'!I284,3)='CPSXKD 622'!$H$7,'CHUNG TU'!$L284,0)</f>
        <v>0</v>
      </c>
      <c r="G293" s="192">
        <f>IF(AND($F293&lt;&gt;0,LEFT('CHUNG TU'!$J284,LEN('CPSXKD 622'!G$10))='CPSXKD 622'!G$10),'CPSXKD 622'!$F293,0)</f>
        <v>0</v>
      </c>
      <c r="H293" s="192">
        <f>IF(AND($F293&lt;&gt;0,LEFT('CHUNG TU'!$J284,LEN('CPSXKD 622'!H$10))='CPSXKD 622'!H$10),'CPSXKD 622'!$F293,0)</f>
        <v>0</v>
      </c>
      <c r="I293" s="192">
        <f>IF(AND($F293&lt;&gt;0,LEFT('CHUNG TU'!$J284,LEN('CPSXKD 622'!I$10))='CPSXKD 622'!I$10),'CPSXKD 622'!$F293,0)</f>
        <v>0</v>
      </c>
      <c r="J293" s="192">
        <f>IF(AND($F293&lt;&gt;0,LEFT('CHUNG TU'!$J284,LEN('CPSXKD 622'!J$10))='CPSXKD 622'!J$10),'CPSXKD 622'!$F293,0)</f>
        <v>0</v>
      </c>
      <c r="K293" s="192">
        <f t="shared" si="5"/>
        <v>0</v>
      </c>
      <c r="L293" s="201">
        <f>IF(F293&lt;&gt;0,'CHUNG TU'!J284,"")</f>
      </c>
      <c r="M293" s="192">
        <f>IF(LEFT('CHUNG TU'!J284,3)='CPSXKD 622'!$H$7,'CHUNG TU'!$L284,0)</f>
        <v>0</v>
      </c>
      <c r="N293" s="192">
        <f>IF(M293&lt;&gt;0,'CHUNG TU'!I284,"")</f>
      </c>
    </row>
    <row r="294" spans="2:14" ht="12.75">
      <c r="B294" s="192">
        <f>IF($F294+$M294&lt;&gt;0,'CHUNG TU'!A285,"")</f>
      </c>
      <c r="C294" s="192">
        <f>IF($F294+$M294&lt;&gt;0,IF('CHUNG TU'!B285&lt;&gt;"",'CHUNG TU'!B285,IF('CHUNG TU'!C285&lt;&gt;"",'CHUNG TU'!C285,'CHUNG TU'!D285)),"")</f>
      </c>
      <c r="D294" s="192">
        <f>IF($F294+$M294&lt;&gt;0,'CHUNG TU'!F285,"")</f>
      </c>
      <c r="E294" s="192">
        <f>IF($F294+$M294&lt;&gt;0,'CHUNG TU'!H285,"")</f>
      </c>
      <c r="F294" s="192">
        <f>IF(LEFT('CHUNG TU'!I285,3)='CPSXKD 622'!$H$7,'CHUNG TU'!$L285,0)</f>
        <v>0</v>
      </c>
      <c r="G294" s="192">
        <f>IF(AND($F294&lt;&gt;0,LEFT('CHUNG TU'!$J285,LEN('CPSXKD 622'!G$10))='CPSXKD 622'!G$10),'CPSXKD 622'!$F294,0)</f>
        <v>0</v>
      </c>
      <c r="H294" s="192">
        <f>IF(AND($F294&lt;&gt;0,LEFT('CHUNG TU'!$J285,LEN('CPSXKD 622'!H$10))='CPSXKD 622'!H$10),'CPSXKD 622'!$F294,0)</f>
        <v>0</v>
      </c>
      <c r="I294" s="192">
        <f>IF(AND($F294&lt;&gt;0,LEFT('CHUNG TU'!$J285,LEN('CPSXKD 622'!I$10))='CPSXKD 622'!I$10),'CPSXKD 622'!$F294,0)</f>
        <v>0</v>
      </c>
      <c r="J294" s="192">
        <f>IF(AND($F294&lt;&gt;0,LEFT('CHUNG TU'!$J285,LEN('CPSXKD 622'!J$10))='CPSXKD 622'!J$10),'CPSXKD 622'!$F294,0)</f>
        <v>0</v>
      </c>
      <c r="K294" s="192">
        <f t="shared" si="5"/>
        <v>0</v>
      </c>
      <c r="L294" s="201">
        <f>IF(F294&lt;&gt;0,'CHUNG TU'!J285,"")</f>
      </c>
      <c r="M294" s="192">
        <f>IF(LEFT('CHUNG TU'!J285,3)='CPSXKD 622'!$H$7,'CHUNG TU'!$L285,0)</f>
        <v>0</v>
      </c>
      <c r="N294" s="192">
        <f>IF(M294&lt;&gt;0,'CHUNG TU'!I285,"")</f>
      </c>
    </row>
    <row r="295" spans="2:14" ht="12.75">
      <c r="B295" s="192">
        <f>IF($F295+$M295&lt;&gt;0,'CHUNG TU'!A286,"")</f>
      </c>
      <c r="C295" s="192">
        <f>IF($F295+$M295&lt;&gt;0,IF('CHUNG TU'!B286&lt;&gt;"",'CHUNG TU'!B286,IF('CHUNG TU'!C286&lt;&gt;"",'CHUNG TU'!C286,'CHUNG TU'!D286)),"")</f>
      </c>
      <c r="D295" s="192">
        <f>IF($F295+$M295&lt;&gt;0,'CHUNG TU'!F286,"")</f>
      </c>
      <c r="E295" s="192">
        <f>IF($F295+$M295&lt;&gt;0,'CHUNG TU'!H286,"")</f>
      </c>
      <c r="F295" s="192">
        <f>IF(LEFT('CHUNG TU'!I286,3)='CPSXKD 622'!$H$7,'CHUNG TU'!$L286,0)</f>
        <v>0</v>
      </c>
      <c r="G295" s="192">
        <f>IF(AND($F295&lt;&gt;0,LEFT('CHUNG TU'!$J286,LEN('CPSXKD 622'!G$10))='CPSXKD 622'!G$10),'CPSXKD 622'!$F295,0)</f>
        <v>0</v>
      </c>
      <c r="H295" s="192">
        <f>IF(AND($F295&lt;&gt;0,LEFT('CHUNG TU'!$J286,LEN('CPSXKD 622'!H$10))='CPSXKD 622'!H$10),'CPSXKD 622'!$F295,0)</f>
        <v>0</v>
      </c>
      <c r="I295" s="192">
        <f>IF(AND($F295&lt;&gt;0,LEFT('CHUNG TU'!$J286,LEN('CPSXKD 622'!I$10))='CPSXKD 622'!I$10),'CPSXKD 622'!$F295,0)</f>
        <v>0</v>
      </c>
      <c r="J295" s="192">
        <f>IF(AND($F295&lt;&gt;0,LEFT('CHUNG TU'!$J286,LEN('CPSXKD 622'!J$10))='CPSXKD 622'!J$10),'CPSXKD 622'!$F295,0)</f>
        <v>0</v>
      </c>
      <c r="K295" s="192">
        <f t="shared" si="5"/>
        <v>0</v>
      </c>
      <c r="L295" s="201">
        <f>IF(F295&lt;&gt;0,'CHUNG TU'!J286,"")</f>
      </c>
      <c r="M295" s="192">
        <f>IF(LEFT('CHUNG TU'!J286,3)='CPSXKD 622'!$H$7,'CHUNG TU'!$L286,0)</f>
        <v>0</v>
      </c>
      <c r="N295" s="192">
        <f>IF(M295&lt;&gt;0,'CHUNG TU'!I286,"")</f>
      </c>
    </row>
    <row r="296" spans="2:14" ht="12.75">
      <c r="B296" s="192">
        <f>IF($F296+$M296&lt;&gt;0,'CHUNG TU'!A287,"")</f>
      </c>
      <c r="C296" s="192">
        <f>IF($F296+$M296&lt;&gt;0,IF('CHUNG TU'!B287&lt;&gt;"",'CHUNG TU'!B287,IF('CHUNG TU'!C287&lt;&gt;"",'CHUNG TU'!C287,'CHUNG TU'!D287)),"")</f>
      </c>
      <c r="D296" s="192">
        <f>IF($F296+$M296&lt;&gt;0,'CHUNG TU'!F287,"")</f>
      </c>
      <c r="E296" s="192">
        <f>IF($F296+$M296&lt;&gt;0,'CHUNG TU'!H287,"")</f>
      </c>
      <c r="F296" s="192">
        <f>IF(LEFT('CHUNG TU'!I287,3)='CPSXKD 622'!$H$7,'CHUNG TU'!$L287,0)</f>
        <v>0</v>
      </c>
      <c r="G296" s="192">
        <f>IF(AND($F296&lt;&gt;0,LEFT('CHUNG TU'!$J287,LEN('CPSXKD 622'!G$10))='CPSXKD 622'!G$10),'CPSXKD 622'!$F296,0)</f>
        <v>0</v>
      </c>
      <c r="H296" s="192">
        <f>IF(AND($F296&lt;&gt;0,LEFT('CHUNG TU'!$J287,LEN('CPSXKD 622'!H$10))='CPSXKD 622'!H$10),'CPSXKD 622'!$F296,0)</f>
        <v>0</v>
      </c>
      <c r="I296" s="192">
        <f>IF(AND($F296&lt;&gt;0,LEFT('CHUNG TU'!$J287,LEN('CPSXKD 622'!I$10))='CPSXKD 622'!I$10),'CPSXKD 622'!$F296,0)</f>
        <v>0</v>
      </c>
      <c r="J296" s="192">
        <f>IF(AND($F296&lt;&gt;0,LEFT('CHUNG TU'!$J287,LEN('CPSXKD 622'!J$10))='CPSXKD 622'!J$10),'CPSXKD 622'!$F296,0)</f>
        <v>0</v>
      </c>
      <c r="K296" s="192">
        <f t="shared" si="5"/>
        <v>0</v>
      </c>
      <c r="L296" s="201">
        <f>IF(F296&lt;&gt;0,'CHUNG TU'!J287,"")</f>
      </c>
      <c r="M296" s="192">
        <f>IF(LEFT('CHUNG TU'!J287,3)='CPSXKD 622'!$H$7,'CHUNG TU'!$L287,0)</f>
        <v>0</v>
      </c>
      <c r="N296" s="192">
        <f>IF(M296&lt;&gt;0,'CHUNG TU'!I287,"")</f>
      </c>
    </row>
    <row r="297" spans="2:14" ht="12.75">
      <c r="B297" s="192">
        <f>IF($F297+$M297&lt;&gt;0,'CHUNG TU'!A288,"")</f>
      </c>
      <c r="C297" s="192">
        <f>IF($F297+$M297&lt;&gt;0,IF('CHUNG TU'!B288&lt;&gt;"",'CHUNG TU'!B288,IF('CHUNG TU'!C288&lt;&gt;"",'CHUNG TU'!C288,'CHUNG TU'!D288)),"")</f>
      </c>
      <c r="D297" s="192">
        <f>IF($F297+$M297&lt;&gt;0,'CHUNG TU'!F288,"")</f>
      </c>
      <c r="E297" s="192">
        <f>IF($F297+$M297&lt;&gt;0,'CHUNG TU'!H288,"")</f>
      </c>
      <c r="F297" s="192">
        <f>IF(LEFT('CHUNG TU'!I288,3)='CPSXKD 622'!$H$7,'CHUNG TU'!$L288,0)</f>
        <v>0</v>
      </c>
      <c r="G297" s="192">
        <f>IF(AND($F297&lt;&gt;0,LEFT('CHUNG TU'!$J288,LEN('CPSXKD 622'!G$10))='CPSXKD 622'!G$10),'CPSXKD 622'!$F297,0)</f>
        <v>0</v>
      </c>
      <c r="H297" s="192">
        <f>IF(AND($F297&lt;&gt;0,LEFT('CHUNG TU'!$J288,LEN('CPSXKD 622'!H$10))='CPSXKD 622'!H$10),'CPSXKD 622'!$F297,0)</f>
        <v>0</v>
      </c>
      <c r="I297" s="192">
        <f>IF(AND($F297&lt;&gt;0,LEFT('CHUNG TU'!$J288,LEN('CPSXKD 622'!I$10))='CPSXKD 622'!I$10),'CPSXKD 622'!$F297,0)</f>
        <v>0</v>
      </c>
      <c r="J297" s="192">
        <f>IF(AND($F297&lt;&gt;0,LEFT('CHUNG TU'!$J288,LEN('CPSXKD 622'!J$10))='CPSXKD 622'!J$10),'CPSXKD 622'!$F297,0)</f>
        <v>0</v>
      </c>
      <c r="K297" s="192">
        <f t="shared" si="5"/>
        <v>0</v>
      </c>
      <c r="L297" s="201">
        <f>IF(F297&lt;&gt;0,'CHUNG TU'!J288,"")</f>
      </c>
      <c r="M297" s="192">
        <f>IF(LEFT('CHUNG TU'!J288,3)='CPSXKD 622'!$H$7,'CHUNG TU'!$L288,0)</f>
        <v>0</v>
      </c>
      <c r="N297" s="192">
        <f>IF(M297&lt;&gt;0,'CHUNG TU'!I288,"")</f>
      </c>
    </row>
    <row r="298" spans="2:14" ht="12.75">
      <c r="B298" s="192">
        <f>IF($F298+$M298&lt;&gt;0,'CHUNG TU'!A289,"")</f>
      </c>
      <c r="C298" s="192">
        <f>IF($F298+$M298&lt;&gt;0,IF('CHUNG TU'!B289&lt;&gt;"",'CHUNG TU'!B289,IF('CHUNG TU'!C289&lt;&gt;"",'CHUNG TU'!C289,'CHUNG TU'!D289)),"")</f>
      </c>
      <c r="D298" s="192">
        <f>IF($F298+$M298&lt;&gt;0,'CHUNG TU'!F289,"")</f>
      </c>
      <c r="E298" s="192">
        <f>IF($F298+$M298&lt;&gt;0,'CHUNG TU'!H289,"")</f>
      </c>
      <c r="F298" s="192">
        <f>IF(LEFT('CHUNG TU'!I289,3)='CPSXKD 622'!$H$7,'CHUNG TU'!$L289,0)</f>
        <v>0</v>
      </c>
      <c r="G298" s="192">
        <f>IF(AND($F298&lt;&gt;0,LEFT('CHUNG TU'!$J289,LEN('CPSXKD 622'!G$10))='CPSXKD 622'!G$10),'CPSXKD 622'!$F298,0)</f>
        <v>0</v>
      </c>
      <c r="H298" s="192">
        <f>IF(AND($F298&lt;&gt;0,LEFT('CHUNG TU'!$J289,LEN('CPSXKD 622'!H$10))='CPSXKD 622'!H$10),'CPSXKD 622'!$F298,0)</f>
        <v>0</v>
      </c>
      <c r="I298" s="192">
        <f>IF(AND($F298&lt;&gt;0,LEFT('CHUNG TU'!$J289,LEN('CPSXKD 622'!I$10))='CPSXKD 622'!I$10),'CPSXKD 622'!$F298,0)</f>
        <v>0</v>
      </c>
      <c r="J298" s="192">
        <f>IF(AND($F298&lt;&gt;0,LEFT('CHUNG TU'!$J289,LEN('CPSXKD 622'!J$10))='CPSXKD 622'!J$10),'CPSXKD 622'!$F298,0)</f>
        <v>0</v>
      </c>
      <c r="K298" s="192">
        <f t="shared" si="5"/>
        <v>0</v>
      </c>
      <c r="L298" s="201">
        <f>IF(F298&lt;&gt;0,'CHUNG TU'!J289,"")</f>
      </c>
      <c r="M298" s="192">
        <f>IF(LEFT('CHUNG TU'!J289,3)='CPSXKD 622'!$H$7,'CHUNG TU'!$L289,0)</f>
        <v>0</v>
      </c>
      <c r="N298" s="192">
        <f>IF(M298&lt;&gt;0,'CHUNG TU'!I289,"")</f>
      </c>
    </row>
    <row r="299" spans="2:14" ht="12.75">
      <c r="B299" s="192">
        <f>IF($F299+$M299&lt;&gt;0,'CHUNG TU'!A290,"")</f>
      </c>
      <c r="C299" s="192">
        <f>IF($F299+$M299&lt;&gt;0,IF('CHUNG TU'!B290&lt;&gt;"",'CHUNG TU'!B290,IF('CHUNG TU'!C290&lt;&gt;"",'CHUNG TU'!C290,'CHUNG TU'!D290)),"")</f>
      </c>
      <c r="D299" s="192">
        <f>IF($F299+$M299&lt;&gt;0,'CHUNG TU'!F290,"")</f>
      </c>
      <c r="E299" s="192">
        <f>IF($F299+$M299&lt;&gt;0,'CHUNG TU'!H290,"")</f>
      </c>
      <c r="F299" s="192">
        <f>IF(LEFT('CHUNG TU'!I290,3)='CPSXKD 622'!$H$7,'CHUNG TU'!$L290,0)</f>
        <v>0</v>
      </c>
      <c r="G299" s="192">
        <f>IF(AND($F299&lt;&gt;0,LEFT('CHUNG TU'!$J290,LEN('CPSXKD 622'!G$10))='CPSXKD 622'!G$10),'CPSXKD 622'!$F299,0)</f>
        <v>0</v>
      </c>
      <c r="H299" s="192">
        <f>IF(AND($F299&lt;&gt;0,LEFT('CHUNG TU'!$J290,LEN('CPSXKD 622'!H$10))='CPSXKD 622'!H$10),'CPSXKD 622'!$F299,0)</f>
        <v>0</v>
      </c>
      <c r="I299" s="192">
        <f>IF(AND($F299&lt;&gt;0,LEFT('CHUNG TU'!$J290,LEN('CPSXKD 622'!I$10))='CPSXKD 622'!I$10),'CPSXKD 622'!$F299,0)</f>
        <v>0</v>
      </c>
      <c r="J299" s="192">
        <f>IF(AND($F299&lt;&gt;0,LEFT('CHUNG TU'!$J290,LEN('CPSXKD 622'!J$10))='CPSXKD 622'!J$10),'CPSXKD 622'!$F299,0)</f>
        <v>0</v>
      </c>
      <c r="K299" s="192">
        <f t="shared" si="5"/>
        <v>0</v>
      </c>
      <c r="L299" s="201">
        <f>IF(F299&lt;&gt;0,'CHUNG TU'!J290,"")</f>
      </c>
      <c r="M299" s="192">
        <f>IF(LEFT('CHUNG TU'!J290,3)='CPSXKD 622'!$H$7,'CHUNG TU'!$L290,0)</f>
        <v>0</v>
      </c>
      <c r="N299" s="192">
        <f>IF(M299&lt;&gt;0,'CHUNG TU'!I290,"")</f>
      </c>
    </row>
    <row r="300" spans="2:14" ht="12.75">
      <c r="B300" s="192" t="str">
        <f>IF($F300+$M300&lt;&gt;0,'CHUNG TU'!A291,"")</f>
        <v>31/10/2020</v>
      </c>
      <c r="C300" s="192" t="str">
        <f>IF($F300+$M300&lt;&gt;0,IF('CHUNG TU'!B291&lt;&gt;"",'CHUNG TU'!B291,IF('CHUNG TU'!C291&lt;&gt;"",'CHUNG TU'!C291,'CHUNG TU'!D291)),"")</f>
        <v>PKT10/103</v>
      </c>
      <c r="D300" s="192" t="str">
        <f>IF($F300+$M300&lt;&gt;0,'CHUNG TU'!F291,"")</f>
        <v>31/10/2020</v>
      </c>
      <c r="E300" s="192" t="str">
        <f>IF($F300+$M300&lt;&gt;0,'CHUNG TU'!H291,"")</f>
        <v>Kết chuyển CPSX của PXSX phụ (PX2)</v>
      </c>
      <c r="F300" s="192">
        <f>IF(LEFT('CHUNG TU'!I291,3)='CPSXKD 622'!$H$7,'CHUNG TU'!$L291,0)</f>
        <v>0</v>
      </c>
      <c r="G300" s="192">
        <f>IF(AND($F300&lt;&gt;0,LEFT('CHUNG TU'!$J291,LEN('CPSXKD 622'!G$10))='CPSXKD 622'!G$10),'CPSXKD 622'!$F300,0)</f>
        <v>0</v>
      </c>
      <c r="H300" s="192">
        <f>IF(AND($F300&lt;&gt;0,LEFT('CHUNG TU'!$J291,LEN('CPSXKD 622'!H$10))='CPSXKD 622'!H$10),'CPSXKD 622'!$F300,0)</f>
        <v>0</v>
      </c>
      <c r="I300" s="192">
        <f>IF(AND($F300&lt;&gt;0,LEFT('CHUNG TU'!$J291,LEN('CPSXKD 622'!I$10))='CPSXKD 622'!I$10),'CPSXKD 622'!$F300,0)</f>
        <v>0</v>
      </c>
      <c r="J300" s="192">
        <f>IF(AND($F300&lt;&gt;0,LEFT('CHUNG TU'!$J291,LEN('CPSXKD 622'!J$10))='CPSXKD 622'!J$10),'CPSXKD 622'!$F300,0)</f>
        <v>0</v>
      </c>
      <c r="K300" s="192">
        <f t="shared" si="5"/>
        <v>0</v>
      </c>
      <c r="L300" s="201">
        <f>IF(F300&lt;&gt;0,'CHUNG TU'!J291,"")</f>
      </c>
      <c r="M300" s="192">
        <f>IF(LEFT('CHUNG TU'!J291,3)='CPSXKD 622'!$H$7,'CHUNG TU'!$L291,0)</f>
        <v>32871166.666666664</v>
      </c>
      <c r="N300" s="192" t="str">
        <f>IF(M300&lt;&gt;0,'CHUNG TU'!I291,"")</f>
        <v>154.PX2.B01</v>
      </c>
    </row>
    <row r="301" spans="2:14" ht="12.75">
      <c r="B301" s="192">
        <f>IF($F301+$M301&lt;&gt;0,'CHUNG TU'!A292,"")</f>
      </c>
      <c r="C301" s="192">
        <f>IF($F301+$M301&lt;&gt;0,IF('CHUNG TU'!B292&lt;&gt;"",'CHUNG TU'!B292,IF('CHUNG TU'!C292&lt;&gt;"",'CHUNG TU'!C292,'CHUNG TU'!D292)),"")</f>
      </c>
      <c r="D301" s="192">
        <f>IF($F301+$M301&lt;&gt;0,'CHUNG TU'!F292,"")</f>
      </c>
      <c r="E301" s="192">
        <f>IF($F301+$M301&lt;&gt;0,'CHUNG TU'!H292,"")</f>
      </c>
      <c r="F301" s="192">
        <f>IF(LEFT('CHUNG TU'!I292,3)='CPSXKD 622'!$H$7,'CHUNG TU'!$L292,0)</f>
        <v>0</v>
      </c>
      <c r="G301" s="192">
        <f>IF(AND($F301&lt;&gt;0,LEFT('CHUNG TU'!$J292,LEN('CPSXKD 622'!G$10))='CPSXKD 622'!G$10),'CPSXKD 622'!$F301,0)</f>
        <v>0</v>
      </c>
      <c r="H301" s="192">
        <f>IF(AND($F301&lt;&gt;0,LEFT('CHUNG TU'!$J292,LEN('CPSXKD 622'!H$10))='CPSXKD 622'!H$10),'CPSXKD 622'!$F301,0)</f>
        <v>0</v>
      </c>
      <c r="I301" s="192">
        <f>IF(AND($F301&lt;&gt;0,LEFT('CHUNG TU'!$J292,LEN('CPSXKD 622'!I$10))='CPSXKD 622'!I$10),'CPSXKD 622'!$F301,0)</f>
        <v>0</v>
      </c>
      <c r="J301" s="192">
        <f>IF(AND($F301&lt;&gt;0,LEFT('CHUNG TU'!$J292,LEN('CPSXKD 622'!J$10))='CPSXKD 622'!J$10),'CPSXKD 622'!$F301,0)</f>
        <v>0</v>
      </c>
      <c r="K301" s="192">
        <f t="shared" si="5"/>
        <v>0</v>
      </c>
      <c r="L301" s="201">
        <f>IF(F301&lt;&gt;0,'CHUNG TU'!J292,"")</f>
      </c>
      <c r="M301" s="192">
        <f>IF(LEFT('CHUNG TU'!J292,3)='CPSXKD 622'!$H$7,'CHUNG TU'!$L292,0)</f>
        <v>0</v>
      </c>
      <c r="N301" s="192">
        <f>IF(M301&lt;&gt;0,'CHUNG TU'!I292,"")</f>
      </c>
    </row>
    <row r="302" spans="2:14" ht="12.75">
      <c r="B302" s="192">
        <f>IF($F302+$M302&lt;&gt;0,'CHUNG TU'!A293,"")</f>
      </c>
      <c r="C302" s="192">
        <f>IF($F302+$M302&lt;&gt;0,IF('CHUNG TU'!B293&lt;&gt;"",'CHUNG TU'!B293,IF('CHUNG TU'!C293&lt;&gt;"",'CHUNG TU'!C293,'CHUNG TU'!D293)),"")</f>
      </c>
      <c r="D302" s="192">
        <f>IF($F302+$M302&lt;&gt;0,'CHUNG TU'!F293,"")</f>
      </c>
      <c r="E302" s="192">
        <f>IF($F302+$M302&lt;&gt;0,'CHUNG TU'!H293,"")</f>
      </c>
      <c r="F302" s="192">
        <f>IF(LEFT('CHUNG TU'!I293,3)='CPSXKD 622'!$H$7,'CHUNG TU'!$L293,0)</f>
        <v>0</v>
      </c>
      <c r="G302" s="192">
        <f>IF(AND($F302&lt;&gt;0,LEFT('CHUNG TU'!$J293,LEN('CPSXKD 622'!G$10))='CPSXKD 622'!G$10),'CPSXKD 622'!$F302,0)</f>
        <v>0</v>
      </c>
      <c r="H302" s="192">
        <f>IF(AND($F302&lt;&gt;0,LEFT('CHUNG TU'!$J293,LEN('CPSXKD 622'!H$10))='CPSXKD 622'!H$10),'CPSXKD 622'!$F302,0)</f>
        <v>0</v>
      </c>
      <c r="I302" s="192">
        <f>IF(AND($F302&lt;&gt;0,LEFT('CHUNG TU'!$J293,LEN('CPSXKD 622'!I$10))='CPSXKD 622'!I$10),'CPSXKD 622'!$F302,0)</f>
        <v>0</v>
      </c>
      <c r="J302" s="192">
        <f>IF(AND($F302&lt;&gt;0,LEFT('CHUNG TU'!$J293,LEN('CPSXKD 622'!J$10))='CPSXKD 622'!J$10),'CPSXKD 622'!$F302,0)</f>
        <v>0</v>
      </c>
      <c r="K302" s="192">
        <f t="shared" si="5"/>
        <v>0</v>
      </c>
      <c r="L302" s="201">
        <f>IF(F302&lt;&gt;0,'CHUNG TU'!J293,"")</f>
      </c>
      <c r="M302" s="192">
        <f>IF(LEFT('CHUNG TU'!J293,3)='CPSXKD 622'!$H$7,'CHUNG TU'!$L293,0)</f>
        <v>0</v>
      </c>
      <c r="N302" s="192">
        <f>IF(M302&lt;&gt;0,'CHUNG TU'!I293,"")</f>
      </c>
    </row>
    <row r="303" spans="2:14" ht="12.75">
      <c r="B303" s="192">
        <f>IF($F303+$M303&lt;&gt;0,'CHUNG TU'!A294,"")</f>
      </c>
      <c r="C303" s="192">
        <f>IF($F303+$M303&lt;&gt;0,IF('CHUNG TU'!B294&lt;&gt;"",'CHUNG TU'!B294,IF('CHUNG TU'!C294&lt;&gt;"",'CHUNG TU'!C294,'CHUNG TU'!D294)),"")</f>
      </c>
      <c r="D303" s="192">
        <f>IF($F303+$M303&lt;&gt;0,'CHUNG TU'!F294,"")</f>
      </c>
      <c r="E303" s="192">
        <f>IF($F303+$M303&lt;&gt;0,'CHUNG TU'!H294,"")</f>
      </c>
      <c r="F303" s="192">
        <f>IF(LEFT('CHUNG TU'!I294,3)='CPSXKD 622'!$H$7,'CHUNG TU'!$L294,0)</f>
        <v>0</v>
      </c>
      <c r="G303" s="192">
        <f>IF(AND($F303&lt;&gt;0,LEFT('CHUNG TU'!$J294,LEN('CPSXKD 622'!G$10))='CPSXKD 622'!G$10),'CPSXKD 622'!$F303,0)</f>
        <v>0</v>
      </c>
      <c r="H303" s="192">
        <f>IF(AND($F303&lt;&gt;0,LEFT('CHUNG TU'!$J294,LEN('CPSXKD 622'!H$10))='CPSXKD 622'!H$10),'CPSXKD 622'!$F303,0)</f>
        <v>0</v>
      </c>
      <c r="I303" s="192">
        <f>IF(AND($F303&lt;&gt;0,LEFT('CHUNG TU'!$J294,LEN('CPSXKD 622'!I$10))='CPSXKD 622'!I$10),'CPSXKD 622'!$F303,0)</f>
        <v>0</v>
      </c>
      <c r="J303" s="192">
        <f>IF(AND($F303&lt;&gt;0,LEFT('CHUNG TU'!$J294,LEN('CPSXKD 622'!J$10))='CPSXKD 622'!J$10),'CPSXKD 622'!$F303,0)</f>
        <v>0</v>
      </c>
      <c r="K303" s="192">
        <f t="shared" si="5"/>
        <v>0</v>
      </c>
      <c r="L303" s="201">
        <f>IF(F303&lt;&gt;0,'CHUNG TU'!J294,"")</f>
      </c>
      <c r="M303" s="192">
        <f>IF(LEFT('CHUNG TU'!J294,3)='CPSXKD 622'!$H$7,'CHUNG TU'!$L294,0)</f>
        <v>0</v>
      </c>
      <c r="N303" s="192">
        <f>IF(M303&lt;&gt;0,'CHUNG TU'!I294,"")</f>
      </c>
    </row>
    <row r="304" spans="2:14" ht="12.75">
      <c r="B304" s="192">
        <f>IF($F304+$M304&lt;&gt;0,'CHUNG TU'!A295,"")</f>
      </c>
      <c r="C304" s="192">
        <f>IF($F304+$M304&lt;&gt;0,IF('CHUNG TU'!B295&lt;&gt;"",'CHUNG TU'!B295,IF('CHUNG TU'!C295&lt;&gt;"",'CHUNG TU'!C295,'CHUNG TU'!D295)),"")</f>
      </c>
      <c r="D304" s="192">
        <f>IF($F304+$M304&lt;&gt;0,'CHUNG TU'!F295,"")</f>
      </c>
      <c r="E304" s="192">
        <f>IF($F304+$M304&lt;&gt;0,'CHUNG TU'!H295,"")</f>
      </c>
      <c r="F304" s="192">
        <f>IF(LEFT('CHUNG TU'!I295,3)='CPSXKD 622'!$H$7,'CHUNG TU'!$L295,0)</f>
        <v>0</v>
      </c>
      <c r="G304" s="192">
        <f>IF(AND($F304&lt;&gt;0,LEFT('CHUNG TU'!$J295,LEN('CPSXKD 622'!G$10))='CPSXKD 622'!G$10),'CPSXKD 622'!$F304,0)</f>
        <v>0</v>
      </c>
      <c r="H304" s="192">
        <f>IF(AND($F304&lt;&gt;0,LEFT('CHUNG TU'!$J295,LEN('CPSXKD 622'!H$10))='CPSXKD 622'!H$10),'CPSXKD 622'!$F304,0)</f>
        <v>0</v>
      </c>
      <c r="I304" s="192">
        <f>IF(AND($F304&lt;&gt;0,LEFT('CHUNG TU'!$J295,LEN('CPSXKD 622'!I$10))='CPSXKD 622'!I$10),'CPSXKD 622'!$F304,0)</f>
        <v>0</v>
      </c>
      <c r="J304" s="192">
        <f>IF(AND($F304&lt;&gt;0,LEFT('CHUNG TU'!$J295,LEN('CPSXKD 622'!J$10))='CPSXKD 622'!J$10),'CPSXKD 622'!$F304,0)</f>
        <v>0</v>
      </c>
      <c r="K304" s="192">
        <f t="shared" si="5"/>
        <v>0</v>
      </c>
      <c r="L304" s="201">
        <f>IF(F304&lt;&gt;0,'CHUNG TU'!J295,"")</f>
      </c>
      <c r="M304" s="192">
        <f>IF(LEFT('CHUNG TU'!J295,3)='CPSXKD 622'!$H$7,'CHUNG TU'!$L295,0)</f>
        <v>0</v>
      </c>
      <c r="N304" s="192">
        <f>IF(M304&lt;&gt;0,'CHUNG TU'!I295,"")</f>
      </c>
    </row>
    <row r="305" spans="2:14" ht="12.75">
      <c r="B305" s="192">
        <f>IF($F305+$M305&lt;&gt;0,'CHUNG TU'!A296,"")</f>
      </c>
      <c r="C305" s="192">
        <f>IF($F305+$M305&lt;&gt;0,IF('CHUNG TU'!B296&lt;&gt;"",'CHUNG TU'!B296,IF('CHUNG TU'!C296&lt;&gt;"",'CHUNG TU'!C296,'CHUNG TU'!D296)),"")</f>
      </c>
      <c r="D305" s="192">
        <f>IF($F305+$M305&lt;&gt;0,'CHUNG TU'!F296,"")</f>
      </c>
      <c r="E305" s="192">
        <f>IF($F305+$M305&lt;&gt;0,'CHUNG TU'!H296,"")</f>
      </c>
      <c r="F305" s="192">
        <f>IF(LEFT('CHUNG TU'!I296,3)='CPSXKD 622'!$H$7,'CHUNG TU'!$L296,0)</f>
        <v>0</v>
      </c>
      <c r="G305" s="192">
        <f>IF(AND($F305&lt;&gt;0,LEFT('CHUNG TU'!$J296,LEN('CPSXKD 622'!G$10))='CPSXKD 622'!G$10),'CPSXKD 622'!$F305,0)</f>
        <v>0</v>
      </c>
      <c r="H305" s="192">
        <f>IF(AND($F305&lt;&gt;0,LEFT('CHUNG TU'!$J296,LEN('CPSXKD 622'!H$10))='CPSXKD 622'!H$10),'CPSXKD 622'!$F305,0)</f>
        <v>0</v>
      </c>
      <c r="I305" s="192">
        <f>IF(AND($F305&lt;&gt;0,LEFT('CHUNG TU'!$J296,LEN('CPSXKD 622'!I$10))='CPSXKD 622'!I$10),'CPSXKD 622'!$F305,0)</f>
        <v>0</v>
      </c>
      <c r="J305" s="192">
        <f>IF(AND($F305&lt;&gt;0,LEFT('CHUNG TU'!$J296,LEN('CPSXKD 622'!J$10))='CPSXKD 622'!J$10),'CPSXKD 622'!$F305,0)</f>
        <v>0</v>
      </c>
      <c r="K305" s="192">
        <f t="shared" si="5"/>
        <v>0</v>
      </c>
      <c r="L305" s="201">
        <f>IF(F305&lt;&gt;0,'CHUNG TU'!J296,"")</f>
      </c>
      <c r="M305" s="192">
        <f>IF(LEFT('CHUNG TU'!J296,3)='CPSXKD 622'!$H$7,'CHUNG TU'!$L296,0)</f>
        <v>0</v>
      </c>
      <c r="N305" s="192">
        <f>IF(M305&lt;&gt;0,'CHUNG TU'!I296,"")</f>
      </c>
    </row>
    <row r="306" spans="2:14" ht="12.75">
      <c r="B306" s="192">
        <f>IF($F306+$M306&lt;&gt;0,'CHUNG TU'!A297,"")</f>
      </c>
      <c r="C306" s="192">
        <f>IF($F306+$M306&lt;&gt;0,IF('CHUNG TU'!B297&lt;&gt;"",'CHUNG TU'!B297,IF('CHUNG TU'!C297&lt;&gt;"",'CHUNG TU'!C297,'CHUNG TU'!D297)),"")</f>
      </c>
      <c r="D306" s="192">
        <f>IF($F306+$M306&lt;&gt;0,'CHUNG TU'!F297,"")</f>
      </c>
      <c r="E306" s="192">
        <f>IF($F306+$M306&lt;&gt;0,'CHUNG TU'!H297,"")</f>
      </c>
      <c r="F306" s="192">
        <f>IF(LEFT('CHUNG TU'!I297,3)='CPSXKD 622'!$H$7,'CHUNG TU'!$L297,0)</f>
        <v>0</v>
      </c>
      <c r="G306" s="192">
        <f>IF(AND($F306&lt;&gt;0,LEFT('CHUNG TU'!$J297,LEN('CPSXKD 622'!G$10))='CPSXKD 622'!G$10),'CPSXKD 622'!$F306,0)</f>
        <v>0</v>
      </c>
      <c r="H306" s="192">
        <f>IF(AND($F306&lt;&gt;0,LEFT('CHUNG TU'!$J297,LEN('CPSXKD 622'!H$10))='CPSXKD 622'!H$10),'CPSXKD 622'!$F306,0)</f>
        <v>0</v>
      </c>
      <c r="I306" s="192">
        <f>IF(AND($F306&lt;&gt;0,LEFT('CHUNG TU'!$J297,LEN('CPSXKD 622'!I$10))='CPSXKD 622'!I$10),'CPSXKD 622'!$F306,0)</f>
        <v>0</v>
      </c>
      <c r="J306" s="192">
        <f>IF(AND($F306&lt;&gt;0,LEFT('CHUNG TU'!$J297,LEN('CPSXKD 622'!J$10))='CPSXKD 622'!J$10),'CPSXKD 622'!$F306,0)</f>
        <v>0</v>
      </c>
      <c r="K306" s="192">
        <f t="shared" si="5"/>
        <v>0</v>
      </c>
      <c r="L306" s="201">
        <f>IF(F306&lt;&gt;0,'CHUNG TU'!J297,"")</f>
      </c>
      <c r="M306" s="192">
        <f>IF(LEFT('CHUNG TU'!J297,3)='CPSXKD 622'!$H$7,'CHUNG TU'!$L297,0)</f>
        <v>0</v>
      </c>
      <c r="N306" s="192">
        <f>IF(M306&lt;&gt;0,'CHUNG TU'!I297,"")</f>
      </c>
    </row>
    <row r="307" spans="2:14" ht="12.75">
      <c r="B307" s="192">
        <f>IF($F307+$M307&lt;&gt;0,'CHUNG TU'!A298,"")</f>
      </c>
      <c r="C307" s="192">
        <f>IF($F307+$M307&lt;&gt;0,IF('CHUNG TU'!B298&lt;&gt;"",'CHUNG TU'!B298,IF('CHUNG TU'!C298&lt;&gt;"",'CHUNG TU'!C298,'CHUNG TU'!D298)),"")</f>
      </c>
      <c r="D307" s="192">
        <f>IF($F307+$M307&lt;&gt;0,'CHUNG TU'!F298,"")</f>
      </c>
      <c r="E307" s="192">
        <f>IF($F307+$M307&lt;&gt;0,'CHUNG TU'!H298,"")</f>
      </c>
      <c r="F307" s="192">
        <f>IF(LEFT('CHUNG TU'!I298,3)='CPSXKD 622'!$H$7,'CHUNG TU'!$L298,0)</f>
        <v>0</v>
      </c>
      <c r="G307" s="192">
        <f>IF(AND($F307&lt;&gt;0,LEFT('CHUNG TU'!$J298,LEN('CPSXKD 622'!G$10))='CPSXKD 622'!G$10),'CPSXKD 622'!$F307,0)</f>
        <v>0</v>
      </c>
      <c r="H307" s="192">
        <f>IF(AND($F307&lt;&gt;0,LEFT('CHUNG TU'!$J298,LEN('CPSXKD 622'!H$10))='CPSXKD 622'!H$10),'CPSXKD 622'!$F307,0)</f>
        <v>0</v>
      </c>
      <c r="I307" s="192">
        <f>IF(AND($F307&lt;&gt;0,LEFT('CHUNG TU'!$J298,LEN('CPSXKD 622'!I$10))='CPSXKD 622'!I$10),'CPSXKD 622'!$F307,0)</f>
        <v>0</v>
      </c>
      <c r="J307" s="192">
        <f>IF(AND($F307&lt;&gt;0,LEFT('CHUNG TU'!$J298,LEN('CPSXKD 622'!J$10))='CPSXKD 622'!J$10),'CPSXKD 622'!$F307,0)</f>
        <v>0</v>
      </c>
      <c r="K307" s="192">
        <f t="shared" si="5"/>
        <v>0</v>
      </c>
      <c r="L307" s="201">
        <f>IF(F307&lt;&gt;0,'CHUNG TU'!J298,"")</f>
      </c>
      <c r="M307" s="192">
        <f>IF(LEFT('CHUNG TU'!J298,3)='CPSXKD 622'!$H$7,'CHUNG TU'!$L298,0)</f>
        <v>0</v>
      </c>
      <c r="N307" s="192">
        <f>IF(M307&lt;&gt;0,'CHUNG TU'!I298,"")</f>
      </c>
    </row>
    <row r="308" spans="2:14" ht="12.75">
      <c r="B308" s="192">
        <f>IF($F308+$M308&lt;&gt;0,'CHUNG TU'!A299,"")</f>
      </c>
      <c r="C308" s="192">
        <f>IF($F308+$M308&lt;&gt;0,IF('CHUNG TU'!B299&lt;&gt;"",'CHUNG TU'!B299,IF('CHUNG TU'!C299&lt;&gt;"",'CHUNG TU'!C299,'CHUNG TU'!D299)),"")</f>
      </c>
      <c r="D308" s="192">
        <f>IF($F308+$M308&lt;&gt;0,'CHUNG TU'!F299,"")</f>
      </c>
      <c r="E308" s="192">
        <f>IF($F308+$M308&lt;&gt;0,'CHUNG TU'!H299,"")</f>
      </c>
      <c r="F308" s="192">
        <f>IF(LEFT('CHUNG TU'!I299,3)='CPSXKD 622'!$H$7,'CHUNG TU'!$L299,0)</f>
        <v>0</v>
      </c>
      <c r="G308" s="192">
        <f>IF(AND($F308&lt;&gt;0,LEFT('CHUNG TU'!$J299,LEN('CPSXKD 622'!G$10))='CPSXKD 622'!G$10),'CPSXKD 622'!$F308,0)</f>
        <v>0</v>
      </c>
      <c r="H308" s="192">
        <f>IF(AND($F308&lt;&gt;0,LEFT('CHUNG TU'!$J299,LEN('CPSXKD 622'!H$10))='CPSXKD 622'!H$10),'CPSXKD 622'!$F308,0)</f>
        <v>0</v>
      </c>
      <c r="I308" s="192">
        <f>IF(AND($F308&lt;&gt;0,LEFT('CHUNG TU'!$J299,LEN('CPSXKD 622'!I$10))='CPSXKD 622'!I$10),'CPSXKD 622'!$F308,0)</f>
        <v>0</v>
      </c>
      <c r="J308" s="192">
        <f>IF(AND($F308&lt;&gt;0,LEFT('CHUNG TU'!$J299,LEN('CPSXKD 622'!J$10))='CPSXKD 622'!J$10),'CPSXKD 622'!$F308,0)</f>
        <v>0</v>
      </c>
      <c r="K308" s="192">
        <f t="shared" si="5"/>
        <v>0</v>
      </c>
      <c r="L308" s="201">
        <f>IF(F308&lt;&gt;0,'CHUNG TU'!J299,"")</f>
      </c>
      <c r="M308" s="192">
        <f>IF(LEFT('CHUNG TU'!J299,3)='CPSXKD 622'!$H$7,'CHUNG TU'!$L299,0)</f>
        <v>0</v>
      </c>
      <c r="N308" s="192">
        <f>IF(M308&lt;&gt;0,'CHUNG TU'!I299,"")</f>
      </c>
    </row>
    <row r="309" spans="2:14" ht="12.75">
      <c r="B309" s="192">
        <f>IF($F309+$M309&lt;&gt;0,'CHUNG TU'!A300,"")</f>
      </c>
      <c r="C309" s="192">
        <f>IF($F309+$M309&lt;&gt;0,IF('CHUNG TU'!B300&lt;&gt;"",'CHUNG TU'!B300,IF('CHUNG TU'!C300&lt;&gt;"",'CHUNG TU'!C300,'CHUNG TU'!D300)),"")</f>
      </c>
      <c r="D309" s="192">
        <f>IF($F309+$M309&lt;&gt;0,'CHUNG TU'!F300,"")</f>
      </c>
      <c r="E309" s="192">
        <f>IF($F309+$M309&lt;&gt;0,'CHUNG TU'!H300,"")</f>
      </c>
      <c r="F309" s="192">
        <f>IF(LEFT('CHUNG TU'!I300,3)='CPSXKD 622'!$H$7,'CHUNG TU'!$L300,0)</f>
        <v>0</v>
      </c>
      <c r="G309" s="192">
        <f>IF(AND($F309&lt;&gt;0,LEFT('CHUNG TU'!$J300,LEN('CPSXKD 622'!G$10))='CPSXKD 622'!G$10),'CPSXKD 622'!$F309,0)</f>
        <v>0</v>
      </c>
      <c r="H309" s="192">
        <f>IF(AND($F309&lt;&gt;0,LEFT('CHUNG TU'!$J300,LEN('CPSXKD 622'!H$10))='CPSXKD 622'!H$10),'CPSXKD 622'!$F309,0)</f>
        <v>0</v>
      </c>
      <c r="I309" s="192">
        <f>IF(AND($F309&lt;&gt;0,LEFT('CHUNG TU'!$J300,LEN('CPSXKD 622'!I$10))='CPSXKD 622'!I$10),'CPSXKD 622'!$F309,0)</f>
        <v>0</v>
      </c>
      <c r="J309" s="192">
        <f>IF(AND($F309&lt;&gt;0,LEFT('CHUNG TU'!$J300,LEN('CPSXKD 622'!J$10))='CPSXKD 622'!J$10),'CPSXKD 622'!$F309,0)</f>
        <v>0</v>
      </c>
      <c r="K309" s="192">
        <f t="shared" si="5"/>
        <v>0</v>
      </c>
      <c r="L309" s="201">
        <f>IF(F309&lt;&gt;0,'CHUNG TU'!J300,"")</f>
      </c>
      <c r="M309" s="192">
        <f>IF(LEFT('CHUNG TU'!J300,3)='CPSXKD 622'!$H$7,'CHUNG TU'!$L300,0)</f>
        <v>0</v>
      </c>
      <c r="N309" s="192">
        <f>IF(M309&lt;&gt;0,'CHUNG TU'!I300,"")</f>
      </c>
    </row>
    <row r="310" spans="2:14" ht="12.75">
      <c r="B310" s="192">
        <f>IF($F310+$M310&lt;&gt;0,'CHUNG TU'!A301,"")</f>
      </c>
      <c r="C310" s="192">
        <f>IF($F310+$M310&lt;&gt;0,IF('CHUNG TU'!B301&lt;&gt;"",'CHUNG TU'!B301,IF('CHUNG TU'!C301&lt;&gt;"",'CHUNG TU'!C301,'CHUNG TU'!D301)),"")</f>
      </c>
      <c r="D310" s="192">
        <f>IF($F310+$M310&lt;&gt;0,'CHUNG TU'!F301,"")</f>
      </c>
      <c r="E310" s="192">
        <f>IF($F310+$M310&lt;&gt;0,'CHUNG TU'!H301,"")</f>
      </c>
      <c r="F310" s="192">
        <f>IF(LEFT('CHUNG TU'!I301,3)='CPSXKD 622'!$H$7,'CHUNG TU'!$L301,0)</f>
        <v>0</v>
      </c>
      <c r="G310" s="192">
        <f>IF(AND($F310&lt;&gt;0,LEFT('CHUNG TU'!$J301,LEN('CPSXKD 622'!G$10))='CPSXKD 622'!G$10),'CPSXKD 622'!$F310,0)</f>
        <v>0</v>
      </c>
      <c r="H310" s="192">
        <f>IF(AND($F310&lt;&gt;0,LEFT('CHUNG TU'!$J301,LEN('CPSXKD 622'!H$10))='CPSXKD 622'!H$10),'CPSXKD 622'!$F310,0)</f>
        <v>0</v>
      </c>
      <c r="I310" s="192">
        <f>IF(AND($F310&lt;&gt;0,LEFT('CHUNG TU'!$J301,LEN('CPSXKD 622'!I$10))='CPSXKD 622'!I$10),'CPSXKD 622'!$F310,0)</f>
        <v>0</v>
      </c>
      <c r="J310" s="192">
        <f>IF(AND($F310&lt;&gt;0,LEFT('CHUNG TU'!$J301,LEN('CPSXKD 622'!J$10))='CPSXKD 622'!J$10),'CPSXKD 622'!$F310,0)</f>
        <v>0</v>
      </c>
      <c r="K310" s="192">
        <f t="shared" si="5"/>
        <v>0</v>
      </c>
      <c r="L310" s="201">
        <f>IF(F310&lt;&gt;0,'CHUNG TU'!J301,"")</f>
      </c>
      <c r="M310" s="192">
        <f>IF(LEFT('CHUNG TU'!J301,3)='CPSXKD 622'!$H$7,'CHUNG TU'!$L301,0)</f>
        <v>0</v>
      </c>
      <c r="N310" s="192">
        <f>IF(M310&lt;&gt;0,'CHUNG TU'!I301,"")</f>
      </c>
    </row>
    <row r="311" spans="2:14" ht="12.75">
      <c r="B311" s="192" t="str">
        <f>IF($F311+$M311&lt;&gt;0,'CHUNG TU'!A302,"")</f>
        <v>31/10/2020</v>
      </c>
      <c r="C311" s="192" t="str">
        <f>IF($F311+$M311&lt;&gt;0,IF('CHUNG TU'!B302&lt;&gt;"",'CHUNG TU'!B302,IF('CHUNG TU'!C302&lt;&gt;"",'CHUNG TU'!C302,'CHUNG TU'!D302)),"")</f>
        <v>PKT10/106</v>
      </c>
      <c r="D311" s="192" t="str">
        <f>IF($F311+$M311&lt;&gt;0,'CHUNG TU'!F302,"")</f>
        <v>31/10/2020</v>
      </c>
      <c r="E311" s="192" t="str">
        <f>IF($F311+$M311&lt;&gt;0,'CHUNG TU'!H302,"")</f>
        <v>Kết chuyển CP của PXSX chính</v>
      </c>
      <c r="F311" s="192">
        <f>IF(LEFT('CHUNG TU'!I302,3)='CPSXKD 622'!$H$7,'CHUNG TU'!$L302,0)</f>
        <v>0</v>
      </c>
      <c r="G311" s="192">
        <f>IF(AND($F311&lt;&gt;0,LEFT('CHUNG TU'!$J302,LEN('CPSXKD 622'!G$10))='CPSXKD 622'!G$10),'CPSXKD 622'!$F311,0)</f>
        <v>0</v>
      </c>
      <c r="H311" s="192">
        <f>IF(AND($F311&lt;&gt;0,LEFT('CHUNG TU'!$J302,LEN('CPSXKD 622'!H$10))='CPSXKD 622'!H$10),'CPSXKD 622'!$F311,0)</f>
        <v>0</v>
      </c>
      <c r="I311" s="192">
        <f>IF(AND($F311&lt;&gt;0,LEFT('CHUNG TU'!$J302,LEN('CPSXKD 622'!I$10))='CPSXKD 622'!I$10),'CPSXKD 622'!$F311,0)</f>
        <v>0</v>
      </c>
      <c r="J311" s="192">
        <f>IF(AND($F311&lt;&gt;0,LEFT('CHUNG TU'!$J302,LEN('CPSXKD 622'!J$10))='CPSXKD 622'!J$10),'CPSXKD 622'!$F311,0)</f>
        <v>0</v>
      </c>
      <c r="K311" s="192">
        <f t="shared" si="5"/>
        <v>0</v>
      </c>
      <c r="L311" s="201">
        <f>IF(F311&lt;&gt;0,'CHUNG TU'!J302,"")</f>
      </c>
      <c r="M311" s="192">
        <f>IF(LEFT('CHUNG TU'!J302,3)='CPSXKD 622'!$H$7,'CHUNG TU'!$L302,0)</f>
        <v>68070166.66666666</v>
      </c>
      <c r="N311" s="192" t="str">
        <f>IF(M311&lt;&gt;0,'CHUNG TU'!I302,"")</f>
        <v>154.PX1.F01</v>
      </c>
    </row>
    <row r="312" spans="2:14" ht="12.75">
      <c r="B312" s="192">
        <f>IF($F312+$M312&lt;&gt;0,'CHUNG TU'!A303,"")</f>
      </c>
      <c r="C312" s="192">
        <f>IF($F312+$M312&lt;&gt;0,IF('CHUNG TU'!B303&lt;&gt;"",'CHUNG TU'!B303,IF('CHUNG TU'!C303&lt;&gt;"",'CHUNG TU'!C303,'CHUNG TU'!D303)),"")</f>
      </c>
      <c r="D312" s="192">
        <f>IF($F312+$M312&lt;&gt;0,'CHUNG TU'!F303,"")</f>
      </c>
      <c r="E312" s="192">
        <f>IF($F312+$M312&lt;&gt;0,'CHUNG TU'!H303,"")</f>
      </c>
      <c r="F312" s="192">
        <f>IF(LEFT('CHUNG TU'!I303,3)='CPSXKD 622'!$H$7,'CHUNG TU'!$L303,0)</f>
        <v>0</v>
      </c>
      <c r="G312" s="192">
        <f>IF(AND($F312&lt;&gt;0,LEFT('CHUNG TU'!$J303,LEN('CPSXKD 622'!G$10))='CPSXKD 622'!G$10),'CPSXKD 622'!$F312,0)</f>
        <v>0</v>
      </c>
      <c r="H312" s="192">
        <f>IF(AND($F312&lt;&gt;0,LEFT('CHUNG TU'!$J303,LEN('CPSXKD 622'!H$10))='CPSXKD 622'!H$10),'CPSXKD 622'!$F312,0)</f>
        <v>0</v>
      </c>
      <c r="I312" s="192">
        <f>IF(AND($F312&lt;&gt;0,LEFT('CHUNG TU'!$J303,LEN('CPSXKD 622'!I$10))='CPSXKD 622'!I$10),'CPSXKD 622'!$F312,0)</f>
        <v>0</v>
      </c>
      <c r="J312" s="192">
        <f>IF(AND($F312&lt;&gt;0,LEFT('CHUNG TU'!$J303,LEN('CPSXKD 622'!J$10))='CPSXKD 622'!J$10),'CPSXKD 622'!$F312,0)</f>
        <v>0</v>
      </c>
      <c r="K312" s="192">
        <f t="shared" si="5"/>
        <v>0</v>
      </c>
      <c r="L312" s="201">
        <f>IF(F312&lt;&gt;0,'CHUNG TU'!J303,"")</f>
      </c>
      <c r="M312" s="192">
        <f>IF(LEFT('CHUNG TU'!J303,3)='CPSXKD 622'!$H$7,'CHUNG TU'!$L303,0)</f>
        <v>0</v>
      </c>
      <c r="N312" s="192">
        <f>IF(M312&lt;&gt;0,'CHUNG TU'!I303,"")</f>
      </c>
    </row>
    <row r="313" spans="2:14" ht="12.75">
      <c r="B313" s="192">
        <f>IF($F313+$M313&lt;&gt;0,'CHUNG TU'!A304,"")</f>
      </c>
      <c r="C313" s="192">
        <f>IF($F313+$M313&lt;&gt;0,IF('CHUNG TU'!B304&lt;&gt;"",'CHUNG TU'!B304,IF('CHUNG TU'!C304&lt;&gt;"",'CHUNG TU'!C304,'CHUNG TU'!D304)),"")</f>
      </c>
      <c r="D313" s="192">
        <f>IF($F313+$M313&lt;&gt;0,'CHUNG TU'!F304,"")</f>
      </c>
      <c r="E313" s="192">
        <f>IF($F313+$M313&lt;&gt;0,'CHUNG TU'!H304,"")</f>
      </c>
      <c r="F313" s="192">
        <f>IF(LEFT('CHUNG TU'!I304,3)='CPSXKD 622'!$H$7,'CHUNG TU'!$L304,0)</f>
        <v>0</v>
      </c>
      <c r="G313" s="192">
        <f>IF(AND($F313&lt;&gt;0,LEFT('CHUNG TU'!$J304,LEN('CPSXKD 622'!G$10))='CPSXKD 622'!G$10),'CPSXKD 622'!$F313,0)</f>
        <v>0</v>
      </c>
      <c r="H313" s="192">
        <f>IF(AND($F313&lt;&gt;0,LEFT('CHUNG TU'!$J304,LEN('CPSXKD 622'!H$10))='CPSXKD 622'!H$10),'CPSXKD 622'!$F313,0)</f>
        <v>0</v>
      </c>
      <c r="I313" s="192">
        <f>IF(AND($F313&lt;&gt;0,LEFT('CHUNG TU'!$J304,LEN('CPSXKD 622'!I$10))='CPSXKD 622'!I$10),'CPSXKD 622'!$F313,0)</f>
        <v>0</v>
      </c>
      <c r="J313" s="192">
        <f>IF(AND($F313&lt;&gt;0,LEFT('CHUNG TU'!$J304,LEN('CPSXKD 622'!J$10))='CPSXKD 622'!J$10),'CPSXKD 622'!$F313,0)</f>
        <v>0</v>
      </c>
      <c r="K313" s="192">
        <f t="shared" si="5"/>
        <v>0</v>
      </c>
      <c r="L313" s="201">
        <f>IF(F313&lt;&gt;0,'CHUNG TU'!J304,"")</f>
      </c>
      <c r="M313" s="192">
        <f>IF(LEFT('CHUNG TU'!J304,3)='CPSXKD 622'!$H$7,'CHUNG TU'!$L304,0)</f>
        <v>0</v>
      </c>
      <c r="N313" s="192">
        <f>IF(M313&lt;&gt;0,'CHUNG TU'!I304,"")</f>
      </c>
    </row>
    <row r="314" spans="2:14" ht="12.75">
      <c r="B314" s="192" t="str">
        <f>IF($F314+$M314&lt;&gt;0,'CHUNG TU'!A305,"")</f>
        <v>31/10/2020</v>
      </c>
      <c r="C314" s="192" t="str">
        <f>IF($F314+$M314&lt;&gt;0,IF('CHUNG TU'!B305&lt;&gt;"",'CHUNG TU'!B305,IF('CHUNG TU'!C305&lt;&gt;"",'CHUNG TU'!C305,'CHUNG TU'!D305)),"")</f>
        <v>PKT10/108</v>
      </c>
      <c r="D314" s="192" t="str">
        <f>IF($F314+$M314&lt;&gt;0,'CHUNG TU'!F305,"")</f>
        <v>31/10/2020</v>
      </c>
      <c r="E314" s="192" t="str">
        <f>IF($F314+$M314&lt;&gt;0,'CHUNG TU'!H305,"")</f>
        <v>Kết chuyển CP của PXSX chính</v>
      </c>
      <c r="F314" s="192">
        <f>IF(LEFT('CHUNG TU'!I305,3)='CPSXKD 622'!$H$7,'CHUNG TU'!$L305,0)</f>
        <v>0</v>
      </c>
      <c r="G314" s="192">
        <f>IF(AND($F314&lt;&gt;0,LEFT('CHUNG TU'!$J305,LEN('CPSXKD 622'!G$10))='CPSXKD 622'!G$10),'CPSXKD 622'!$F314,0)</f>
        <v>0</v>
      </c>
      <c r="H314" s="192">
        <f>IF(AND($F314&lt;&gt;0,LEFT('CHUNG TU'!$J305,LEN('CPSXKD 622'!H$10))='CPSXKD 622'!H$10),'CPSXKD 622'!$F314,0)</f>
        <v>0</v>
      </c>
      <c r="I314" s="192">
        <f>IF(AND($F314&lt;&gt;0,LEFT('CHUNG TU'!$J305,LEN('CPSXKD 622'!I$10))='CPSXKD 622'!I$10),'CPSXKD 622'!$F314,0)</f>
        <v>0</v>
      </c>
      <c r="J314" s="192">
        <f>IF(AND($F314&lt;&gt;0,LEFT('CHUNG TU'!$J305,LEN('CPSXKD 622'!J$10))='CPSXKD 622'!J$10),'CPSXKD 622'!$F314,0)</f>
        <v>0</v>
      </c>
      <c r="K314" s="192">
        <f t="shared" si="5"/>
        <v>0</v>
      </c>
      <c r="L314" s="201">
        <f>IF(F314&lt;&gt;0,'CHUNG TU'!J305,"")</f>
      </c>
      <c r="M314" s="192">
        <f>IF(LEFT('CHUNG TU'!J305,3)='CPSXKD 622'!$H$7,'CHUNG TU'!$L305,0)</f>
        <v>90562444.44444445</v>
      </c>
      <c r="N314" s="192" t="str">
        <f>IF(M314&lt;&gt;0,'CHUNG TU'!I305,"")</f>
        <v>154.PX1.F02</v>
      </c>
    </row>
    <row r="315" spans="2:14" ht="12.75">
      <c r="B315" s="192">
        <f>IF($F315+$M315&lt;&gt;0,'CHUNG TU'!A306,"")</f>
      </c>
      <c r="C315" s="192">
        <f>IF($F315+$M315&lt;&gt;0,IF('CHUNG TU'!B306&lt;&gt;"",'CHUNG TU'!B306,IF('CHUNG TU'!C306&lt;&gt;"",'CHUNG TU'!C306,'CHUNG TU'!D306)),"")</f>
      </c>
      <c r="D315" s="192">
        <f>IF($F315+$M315&lt;&gt;0,'CHUNG TU'!F306,"")</f>
      </c>
      <c r="E315" s="192">
        <f>IF($F315+$M315&lt;&gt;0,'CHUNG TU'!H306,"")</f>
      </c>
      <c r="F315" s="192">
        <f>IF(LEFT('CHUNG TU'!I306,3)='CPSXKD 622'!$H$7,'CHUNG TU'!$L306,0)</f>
        <v>0</v>
      </c>
      <c r="G315" s="192">
        <f>IF(AND($F315&lt;&gt;0,LEFT('CHUNG TU'!$J306,LEN('CPSXKD 622'!G$10))='CPSXKD 622'!G$10),'CPSXKD 622'!$F315,0)</f>
        <v>0</v>
      </c>
      <c r="H315" s="192">
        <f>IF(AND($F315&lt;&gt;0,LEFT('CHUNG TU'!$J306,LEN('CPSXKD 622'!H$10))='CPSXKD 622'!H$10),'CPSXKD 622'!$F315,0)</f>
        <v>0</v>
      </c>
      <c r="I315" s="192">
        <f>IF(AND($F315&lt;&gt;0,LEFT('CHUNG TU'!$J306,LEN('CPSXKD 622'!I$10))='CPSXKD 622'!I$10),'CPSXKD 622'!$F315,0)</f>
        <v>0</v>
      </c>
      <c r="J315" s="192">
        <f>IF(AND($F315&lt;&gt;0,LEFT('CHUNG TU'!$J306,LEN('CPSXKD 622'!J$10))='CPSXKD 622'!J$10),'CPSXKD 622'!$F315,0)</f>
        <v>0</v>
      </c>
      <c r="K315" s="192">
        <f t="shared" si="5"/>
        <v>0</v>
      </c>
      <c r="L315" s="201">
        <f>IF(F315&lt;&gt;0,'CHUNG TU'!J306,"")</f>
      </c>
      <c r="M315" s="192">
        <f>IF(LEFT('CHUNG TU'!J306,3)='CPSXKD 622'!$H$7,'CHUNG TU'!$L306,0)</f>
        <v>0</v>
      </c>
      <c r="N315" s="192">
        <f>IF(M315&lt;&gt;0,'CHUNG TU'!I306,"")</f>
      </c>
    </row>
    <row r="316" spans="2:14" ht="12.75">
      <c r="B316" s="192">
        <f>IF($F316+$M316&lt;&gt;0,'CHUNG TU'!A307,"")</f>
      </c>
      <c r="C316" s="192">
        <f>IF($F316+$M316&lt;&gt;0,IF('CHUNG TU'!B307&lt;&gt;"",'CHUNG TU'!B307,IF('CHUNG TU'!C307&lt;&gt;"",'CHUNG TU'!C307,'CHUNG TU'!D307)),"")</f>
      </c>
      <c r="D316" s="192">
        <f>IF($F316+$M316&lt;&gt;0,'CHUNG TU'!F307,"")</f>
      </c>
      <c r="E316" s="192">
        <f>IF($F316+$M316&lt;&gt;0,'CHUNG TU'!H307,"")</f>
      </c>
      <c r="F316" s="192">
        <f>IF(LEFT('CHUNG TU'!I307,3)='CPSXKD 622'!$H$7,'CHUNG TU'!$L307,0)</f>
        <v>0</v>
      </c>
      <c r="G316" s="192">
        <f>IF(AND($F316&lt;&gt;0,LEFT('CHUNG TU'!$J307,LEN('CPSXKD 622'!G$10))='CPSXKD 622'!G$10),'CPSXKD 622'!$F316,0)</f>
        <v>0</v>
      </c>
      <c r="H316" s="192">
        <f>IF(AND($F316&lt;&gt;0,LEFT('CHUNG TU'!$J307,LEN('CPSXKD 622'!H$10))='CPSXKD 622'!H$10),'CPSXKD 622'!$F316,0)</f>
        <v>0</v>
      </c>
      <c r="I316" s="192">
        <f>IF(AND($F316&lt;&gt;0,LEFT('CHUNG TU'!$J307,LEN('CPSXKD 622'!I$10))='CPSXKD 622'!I$10),'CPSXKD 622'!$F316,0)</f>
        <v>0</v>
      </c>
      <c r="J316" s="192">
        <f>IF(AND($F316&lt;&gt;0,LEFT('CHUNG TU'!$J307,LEN('CPSXKD 622'!J$10))='CPSXKD 622'!J$10),'CPSXKD 622'!$F316,0)</f>
        <v>0</v>
      </c>
      <c r="K316" s="192">
        <f t="shared" si="5"/>
        <v>0</v>
      </c>
      <c r="L316" s="201">
        <f>IF(F316&lt;&gt;0,'CHUNG TU'!J307,"")</f>
      </c>
      <c r="M316" s="192">
        <f>IF(LEFT('CHUNG TU'!J307,3)='CPSXKD 622'!$H$7,'CHUNG TU'!$L307,0)</f>
        <v>0</v>
      </c>
      <c r="N316" s="192">
        <f>IF(M316&lt;&gt;0,'CHUNG TU'!I307,"")</f>
      </c>
    </row>
    <row r="317" spans="2:14" ht="12.75">
      <c r="B317" s="192">
        <f>IF($F317+$M317&lt;&gt;0,'CHUNG TU'!A308,"")</f>
      </c>
      <c r="C317" s="192">
        <f>IF($F317+$M317&lt;&gt;0,IF('CHUNG TU'!B308&lt;&gt;"",'CHUNG TU'!B308,IF('CHUNG TU'!C308&lt;&gt;"",'CHUNG TU'!C308,'CHUNG TU'!D308)),"")</f>
      </c>
      <c r="D317" s="192">
        <f>IF($F317+$M317&lt;&gt;0,'CHUNG TU'!F308,"")</f>
      </c>
      <c r="E317" s="192">
        <f>IF($F317+$M317&lt;&gt;0,'CHUNG TU'!H308,"")</f>
      </c>
      <c r="F317" s="192">
        <f>IF(LEFT('CHUNG TU'!I308,3)='CPSXKD 622'!$H$7,'CHUNG TU'!$L308,0)</f>
        <v>0</v>
      </c>
      <c r="G317" s="192">
        <f>IF(AND($F317&lt;&gt;0,LEFT('CHUNG TU'!$J308,LEN('CPSXKD 622'!G$10))='CPSXKD 622'!G$10),'CPSXKD 622'!$F317,0)</f>
        <v>0</v>
      </c>
      <c r="H317" s="192">
        <f>IF(AND($F317&lt;&gt;0,LEFT('CHUNG TU'!$J308,LEN('CPSXKD 622'!H$10))='CPSXKD 622'!H$10),'CPSXKD 622'!$F317,0)</f>
        <v>0</v>
      </c>
      <c r="I317" s="192">
        <f>IF(AND($F317&lt;&gt;0,LEFT('CHUNG TU'!$J308,LEN('CPSXKD 622'!I$10))='CPSXKD 622'!I$10),'CPSXKD 622'!$F317,0)</f>
        <v>0</v>
      </c>
      <c r="J317" s="192">
        <f>IF(AND($F317&lt;&gt;0,LEFT('CHUNG TU'!$J308,LEN('CPSXKD 622'!J$10))='CPSXKD 622'!J$10),'CPSXKD 622'!$F317,0)</f>
        <v>0</v>
      </c>
      <c r="K317" s="192">
        <f t="shared" si="5"/>
        <v>0</v>
      </c>
      <c r="L317" s="201">
        <f>IF(F317&lt;&gt;0,'CHUNG TU'!J308,"")</f>
      </c>
      <c r="M317" s="192">
        <f>IF(LEFT('CHUNG TU'!J308,3)='CPSXKD 622'!$H$7,'CHUNG TU'!$L308,0)</f>
        <v>0</v>
      </c>
      <c r="N317" s="192">
        <f>IF(M317&lt;&gt;0,'CHUNG TU'!I308,"")</f>
      </c>
    </row>
    <row r="318" spans="2:14" ht="12.75">
      <c r="B318" s="192">
        <f>IF($F318+$M318&lt;&gt;0,'CHUNG TU'!A309,"")</f>
      </c>
      <c r="C318" s="192">
        <f>IF($F318+$M318&lt;&gt;0,IF('CHUNG TU'!B309&lt;&gt;"",'CHUNG TU'!B309,IF('CHUNG TU'!C309&lt;&gt;"",'CHUNG TU'!C309,'CHUNG TU'!D309)),"")</f>
      </c>
      <c r="D318" s="192">
        <f>IF($F318+$M318&lt;&gt;0,'CHUNG TU'!F309,"")</f>
      </c>
      <c r="E318" s="192">
        <f>IF($F318+$M318&lt;&gt;0,'CHUNG TU'!H309,"")</f>
      </c>
      <c r="F318" s="192">
        <f>IF(LEFT('CHUNG TU'!I309,3)='CPSXKD 622'!$H$7,'CHUNG TU'!$L309,0)</f>
        <v>0</v>
      </c>
      <c r="G318" s="192">
        <f>IF(AND($F318&lt;&gt;0,LEFT('CHUNG TU'!$J309,LEN('CPSXKD 622'!G$10))='CPSXKD 622'!G$10),'CPSXKD 622'!$F318,0)</f>
        <v>0</v>
      </c>
      <c r="H318" s="192">
        <f>IF(AND($F318&lt;&gt;0,LEFT('CHUNG TU'!$J309,LEN('CPSXKD 622'!H$10))='CPSXKD 622'!H$10),'CPSXKD 622'!$F318,0)</f>
        <v>0</v>
      </c>
      <c r="I318" s="192">
        <f>IF(AND($F318&lt;&gt;0,LEFT('CHUNG TU'!$J309,LEN('CPSXKD 622'!I$10))='CPSXKD 622'!I$10),'CPSXKD 622'!$F318,0)</f>
        <v>0</v>
      </c>
      <c r="J318" s="192">
        <f>IF(AND($F318&lt;&gt;0,LEFT('CHUNG TU'!$J309,LEN('CPSXKD 622'!J$10))='CPSXKD 622'!J$10),'CPSXKD 622'!$F318,0)</f>
        <v>0</v>
      </c>
      <c r="K318" s="192">
        <f t="shared" si="5"/>
        <v>0</v>
      </c>
      <c r="L318" s="201">
        <f>IF(F318&lt;&gt;0,'CHUNG TU'!J309,"")</f>
      </c>
      <c r="M318" s="192">
        <f>IF(LEFT('CHUNG TU'!J309,3)='CPSXKD 622'!$H$7,'CHUNG TU'!$L309,0)</f>
        <v>0</v>
      </c>
      <c r="N318" s="192">
        <f>IF(M318&lt;&gt;0,'CHUNG TU'!I309,"")</f>
      </c>
    </row>
    <row r="319" spans="2:14" ht="12.75">
      <c r="B319" s="192">
        <f>IF($F319+$M319&lt;&gt;0,'CHUNG TU'!A310,"")</f>
      </c>
      <c r="C319" s="192">
        <f>IF($F319+$M319&lt;&gt;0,IF('CHUNG TU'!B310&lt;&gt;"",'CHUNG TU'!B310,IF('CHUNG TU'!C310&lt;&gt;"",'CHUNG TU'!C310,'CHUNG TU'!D310)),"")</f>
      </c>
      <c r="D319" s="192">
        <f>IF($F319+$M319&lt;&gt;0,'CHUNG TU'!F310,"")</f>
      </c>
      <c r="E319" s="192">
        <f>IF($F319+$M319&lt;&gt;0,'CHUNG TU'!H310,"")</f>
      </c>
      <c r="F319" s="192">
        <f>IF(LEFT('CHUNG TU'!I310,3)='CPSXKD 622'!$H$7,'CHUNG TU'!$L310,0)</f>
        <v>0</v>
      </c>
      <c r="G319" s="192">
        <f>IF(AND($F319&lt;&gt;0,LEFT('CHUNG TU'!$J310,LEN('CPSXKD 622'!G$10))='CPSXKD 622'!G$10),'CPSXKD 622'!$F319,0)</f>
        <v>0</v>
      </c>
      <c r="H319" s="192">
        <f>IF(AND($F319&lt;&gt;0,LEFT('CHUNG TU'!$J310,LEN('CPSXKD 622'!H$10))='CPSXKD 622'!H$10),'CPSXKD 622'!$F319,0)</f>
        <v>0</v>
      </c>
      <c r="I319" s="192">
        <f>IF(AND($F319&lt;&gt;0,LEFT('CHUNG TU'!$J310,LEN('CPSXKD 622'!I$10))='CPSXKD 622'!I$10),'CPSXKD 622'!$F319,0)</f>
        <v>0</v>
      </c>
      <c r="J319" s="192">
        <f>IF(AND($F319&lt;&gt;0,LEFT('CHUNG TU'!$J310,LEN('CPSXKD 622'!J$10))='CPSXKD 622'!J$10),'CPSXKD 622'!$F319,0)</f>
        <v>0</v>
      </c>
      <c r="K319" s="192">
        <f t="shared" si="5"/>
        <v>0</v>
      </c>
      <c r="L319" s="201">
        <f>IF(F319&lt;&gt;0,'CHUNG TU'!J310,"")</f>
      </c>
      <c r="M319" s="192">
        <f>IF(LEFT('CHUNG TU'!J310,3)='CPSXKD 622'!$H$7,'CHUNG TU'!$L310,0)</f>
        <v>0</v>
      </c>
      <c r="N319" s="192">
        <f>IF(M319&lt;&gt;0,'CHUNG TU'!I310,"")</f>
      </c>
    </row>
    <row r="320" spans="2:14" ht="12.75">
      <c r="B320" s="192">
        <f>IF($F320+$M320&lt;&gt;0,'CHUNG TU'!A311,"")</f>
      </c>
      <c r="C320" s="192">
        <f>IF($F320+$M320&lt;&gt;0,IF('CHUNG TU'!B311&lt;&gt;"",'CHUNG TU'!B311,IF('CHUNG TU'!C311&lt;&gt;"",'CHUNG TU'!C311,'CHUNG TU'!D311)),"")</f>
      </c>
      <c r="D320" s="192">
        <f>IF($F320+$M320&lt;&gt;0,'CHUNG TU'!F311,"")</f>
      </c>
      <c r="E320" s="192">
        <f>IF($F320+$M320&lt;&gt;0,'CHUNG TU'!H311,"")</f>
      </c>
      <c r="F320" s="192">
        <f>IF(LEFT('CHUNG TU'!I311,3)='CPSXKD 622'!$H$7,'CHUNG TU'!$L311,0)</f>
        <v>0</v>
      </c>
      <c r="G320" s="192">
        <f>IF(AND($F320&lt;&gt;0,LEFT('CHUNG TU'!$J311,LEN('CPSXKD 622'!G$10))='CPSXKD 622'!G$10),'CPSXKD 622'!$F320,0)</f>
        <v>0</v>
      </c>
      <c r="H320" s="192">
        <f>IF(AND($F320&lt;&gt;0,LEFT('CHUNG TU'!$J311,LEN('CPSXKD 622'!H$10))='CPSXKD 622'!H$10),'CPSXKD 622'!$F320,0)</f>
        <v>0</v>
      </c>
      <c r="I320" s="192">
        <f>IF(AND($F320&lt;&gt;0,LEFT('CHUNG TU'!$J311,LEN('CPSXKD 622'!I$10))='CPSXKD 622'!I$10),'CPSXKD 622'!$F320,0)</f>
        <v>0</v>
      </c>
      <c r="J320" s="192">
        <f>IF(AND($F320&lt;&gt;0,LEFT('CHUNG TU'!$J311,LEN('CPSXKD 622'!J$10))='CPSXKD 622'!J$10),'CPSXKD 622'!$F320,0)</f>
        <v>0</v>
      </c>
      <c r="K320" s="192">
        <f t="shared" si="5"/>
        <v>0</v>
      </c>
      <c r="L320" s="201">
        <f>IF(F320&lt;&gt;0,'CHUNG TU'!J311,"")</f>
      </c>
      <c r="M320" s="192">
        <f>IF(LEFT('CHUNG TU'!J311,3)='CPSXKD 622'!$H$7,'CHUNG TU'!$L311,0)</f>
        <v>0</v>
      </c>
      <c r="N320" s="192">
        <f>IF(M320&lt;&gt;0,'CHUNG TU'!I311,"")</f>
      </c>
    </row>
    <row r="321" spans="2:14" ht="12.75">
      <c r="B321" s="192">
        <f>IF($F321+$M321&lt;&gt;0,'CHUNG TU'!A312,"")</f>
      </c>
      <c r="C321" s="192">
        <f>IF($F321+$M321&lt;&gt;0,IF('CHUNG TU'!B312&lt;&gt;"",'CHUNG TU'!B312,IF('CHUNG TU'!C312&lt;&gt;"",'CHUNG TU'!C312,'CHUNG TU'!D312)),"")</f>
      </c>
      <c r="D321" s="192">
        <f>IF($F321+$M321&lt;&gt;0,'CHUNG TU'!F312,"")</f>
      </c>
      <c r="E321" s="192">
        <f>IF($F321+$M321&lt;&gt;0,'CHUNG TU'!H312,"")</f>
      </c>
      <c r="F321" s="192">
        <f>IF(LEFT('CHUNG TU'!I312,3)='CPSXKD 622'!$H$7,'CHUNG TU'!$L312,0)</f>
        <v>0</v>
      </c>
      <c r="G321" s="192">
        <f>IF(AND($F321&lt;&gt;0,LEFT('CHUNG TU'!$J312,LEN('CPSXKD 622'!G$10))='CPSXKD 622'!G$10),'CPSXKD 622'!$F321,0)</f>
        <v>0</v>
      </c>
      <c r="H321" s="192">
        <f>IF(AND($F321&lt;&gt;0,LEFT('CHUNG TU'!$J312,LEN('CPSXKD 622'!H$10))='CPSXKD 622'!H$10),'CPSXKD 622'!$F321,0)</f>
        <v>0</v>
      </c>
      <c r="I321" s="192">
        <f>IF(AND($F321&lt;&gt;0,LEFT('CHUNG TU'!$J312,LEN('CPSXKD 622'!I$10))='CPSXKD 622'!I$10),'CPSXKD 622'!$F321,0)</f>
        <v>0</v>
      </c>
      <c r="J321" s="192">
        <f>IF(AND($F321&lt;&gt;0,LEFT('CHUNG TU'!$J312,LEN('CPSXKD 622'!J$10))='CPSXKD 622'!J$10),'CPSXKD 622'!$F321,0)</f>
        <v>0</v>
      </c>
      <c r="K321" s="192">
        <f t="shared" si="5"/>
        <v>0</v>
      </c>
      <c r="L321" s="201">
        <f>IF(F321&lt;&gt;0,'CHUNG TU'!J312,"")</f>
      </c>
      <c r="M321" s="192">
        <f>IF(LEFT('CHUNG TU'!J312,3)='CPSXKD 622'!$H$7,'CHUNG TU'!$L312,0)</f>
        <v>0</v>
      </c>
      <c r="N321" s="192">
        <f>IF(M321&lt;&gt;0,'CHUNG TU'!I312,"")</f>
      </c>
    </row>
    <row r="322" spans="2:14" ht="12.75">
      <c r="B322" s="192">
        <f>IF($F322+$M322&lt;&gt;0,'CHUNG TU'!A313,"")</f>
      </c>
      <c r="C322" s="192">
        <f>IF($F322+$M322&lt;&gt;0,IF('CHUNG TU'!B313&lt;&gt;"",'CHUNG TU'!B313,IF('CHUNG TU'!C313&lt;&gt;"",'CHUNG TU'!C313,'CHUNG TU'!D313)),"")</f>
      </c>
      <c r="D322" s="192">
        <f>IF($F322+$M322&lt;&gt;0,'CHUNG TU'!F313,"")</f>
      </c>
      <c r="E322" s="192">
        <f>IF($F322+$M322&lt;&gt;0,'CHUNG TU'!H313,"")</f>
      </c>
      <c r="F322" s="192">
        <f>IF(LEFT('CHUNG TU'!I313,3)='CPSXKD 622'!$H$7,'CHUNG TU'!$L313,0)</f>
        <v>0</v>
      </c>
      <c r="G322" s="192">
        <f>IF(AND($F322&lt;&gt;0,LEFT('CHUNG TU'!$J313,LEN('CPSXKD 622'!G$10))='CPSXKD 622'!G$10),'CPSXKD 622'!$F322,0)</f>
        <v>0</v>
      </c>
      <c r="H322" s="192">
        <f>IF(AND($F322&lt;&gt;0,LEFT('CHUNG TU'!$J313,LEN('CPSXKD 622'!H$10))='CPSXKD 622'!H$10),'CPSXKD 622'!$F322,0)</f>
        <v>0</v>
      </c>
      <c r="I322" s="192">
        <f>IF(AND($F322&lt;&gt;0,LEFT('CHUNG TU'!$J313,LEN('CPSXKD 622'!I$10))='CPSXKD 622'!I$10),'CPSXKD 622'!$F322,0)</f>
        <v>0</v>
      </c>
      <c r="J322" s="192">
        <f>IF(AND($F322&lt;&gt;0,LEFT('CHUNG TU'!$J313,LEN('CPSXKD 622'!J$10))='CPSXKD 622'!J$10),'CPSXKD 622'!$F322,0)</f>
        <v>0</v>
      </c>
      <c r="K322" s="192">
        <f t="shared" si="5"/>
        <v>0</v>
      </c>
      <c r="L322" s="201">
        <f>IF(F322&lt;&gt;0,'CHUNG TU'!J313,"")</f>
      </c>
      <c r="M322" s="192">
        <f>IF(LEFT('CHUNG TU'!J313,3)='CPSXKD 622'!$H$7,'CHUNG TU'!$L313,0)</f>
        <v>0</v>
      </c>
      <c r="N322" s="192">
        <f>IF(M322&lt;&gt;0,'CHUNG TU'!I313,"")</f>
      </c>
    </row>
    <row r="323" spans="2:14" ht="12.75">
      <c r="B323" s="192">
        <f>IF($F323+$M323&lt;&gt;0,'CHUNG TU'!A314,"")</f>
      </c>
      <c r="C323" s="192">
        <f>IF($F323+$M323&lt;&gt;0,IF('CHUNG TU'!B314&lt;&gt;"",'CHUNG TU'!B314,IF('CHUNG TU'!C314&lt;&gt;"",'CHUNG TU'!C314,'CHUNG TU'!D314)),"")</f>
      </c>
      <c r="D323" s="192">
        <f>IF($F323+$M323&lt;&gt;0,'CHUNG TU'!F314,"")</f>
      </c>
      <c r="E323" s="192">
        <f>IF($F323+$M323&lt;&gt;0,'CHUNG TU'!H314,"")</f>
      </c>
      <c r="F323" s="192">
        <f>IF(LEFT('CHUNG TU'!I314,3)='CPSXKD 622'!$H$7,'CHUNG TU'!$L314,0)</f>
        <v>0</v>
      </c>
      <c r="G323" s="192">
        <f>IF(AND($F323&lt;&gt;0,LEFT('CHUNG TU'!$J314,LEN('CPSXKD 622'!G$10))='CPSXKD 622'!G$10),'CPSXKD 622'!$F323,0)</f>
        <v>0</v>
      </c>
      <c r="H323" s="192">
        <f>IF(AND($F323&lt;&gt;0,LEFT('CHUNG TU'!$J314,LEN('CPSXKD 622'!H$10))='CPSXKD 622'!H$10),'CPSXKD 622'!$F323,0)</f>
        <v>0</v>
      </c>
      <c r="I323" s="192">
        <f>IF(AND($F323&lt;&gt;0,LEFT('CHUNG TU'!$J314,LEN('CPSXKD 622'!I$10))='CPSXKD 622'!I$10),'CPSXKD 622'!$F323,0)</f>
        <v>0</v>
      </c>
      <c r="J323" s="192">
        <f>IF(AND($F323&lt;&gt;0,LEFT('CHUNG TU'!$J314,LEN('CPSXKD 622'!J$10))='CPSXKD 622'!J$10),'CPSXKD 622'!$F323,0)</f>
        <v>0</v>
      </c>
      <c r="K323" s="192">
        <f t="shared" si="5"/>
        <v>0</v>
      </c>
      <c r="L323" s="201">
        <f>IF(F323&lt;&gt;0,'CHUNG TU'!J314,"")</f>
      </c>
      <c r="M323" s="192">
        <f>IF(LEFT('CHUNG TU'!J314,3)='CPSXKD 622'!$H$7,'CHUNG TU'!$L314,0)</f>
        <v>0</v>
      </c>
      <c r="N323" s="192">
        <f>IF(M323&lt;&gt;0,'CHUNG TU'!I314,"")</f>
      </c>
    </row>
    <row r="324" spans="2:14" ht="12.75">
      <c r="B324" s="192">
        <f>IF($F324+$M324&lt;&gt;0,'CHUNG TU'!A315,"")</f>
      </c>
      <c r="C324" s="192">
        <f>IF($F324+$M324&lt;&gt;0,IF('CHUNG TU'!B315&lt;&gt;"",'CHUNG TU'!B315,IF('CHUNG TU'!C315&lt;&gt;"",'CHUNG TU'!C315,'CHUNG TU'!D315)),"")</f>
      </c>
      <c r="D324" s="192">
        <f>IF($F324+$M324&lt;&gt;0,'CHUNG TU'!F315,"")</f>
      </c>
      <c r="E324" s="192">
        <f>IF($F324+$M324&lt;&gt;0,'CHUNG TU'!H315,"")</f>
      </c>
      <c r="F324" s="192">
        <f>IF(LEFT('CHUNG TU'!I315,3)='CPSXKD 622'!$H$7,'CHUNG TU'!$L315,0)</f>
        <v>0</v>
      </c>
      <c r="G324" s="192">
        <f>IF(AND($F324&lt;&gt;0,LEFT('CHUNG TU'!$J315,LEN('CPSXKD 622'!G$10))='CPSXKD 622'!G$10),'CPSXKD 622'!$F324,0)</f>
        <v>0</v>
      </c>
      <c r="H324" s="192">
        <f>IF(AND($F324&lt;&gt;0,LEFT('CHUNG TU'!$J315,LEN('CPSXKD 622'!H$10))='CPSXKD 622'!H$10),'CPSXKD 622'!$F324,0)</f>
        <v>0</v>
      </c>
      <c r="I324" s="192">
        <f>IF(AND($F324&lt;&gt;0,LEFT('CHUNG TU'!$J315,LEN('CPSXKD 622'!I$10))='CPSXKD 622'!I$10),'CPSXKD 622'!$F324,0)</f>
        <v>0</v>
      </c>
      <c r="J324" s="192">
        <f>IF(AND($F324&lt;&gt;0,LEFT('CHUNG TU'!$J315,LEN('CPSXKD 622'!J$10))='CPSXKD 622'!J$10),'CPSXKD 622'!$F324,0)</f>
        <v>0</v>
      </c>
      <c r="K324" s="192">
        <f t="shared" si="5"/>
        <v>0</v>
      </c>
      <c r="L324" s="201">
        <f>IF(F324&lt;&gt;0,'CHUNG TU'!J315,"")</f>
      </c>
      <c r="M324" s="192">
        <f>IF(LEFT('CHUNG TU'!J315,3)='CPSXKD 622'!$H$7,'CHUNG TU'!$L315,0)</f>
        <v>0</v>
      </c>
      <c r="N324" s="192">
        <f>IF(M324&lt;&gt;0,'CHUNG TU'!I315,"")</f>
      </c>
    </row>
    <row r="325" spans="2:14" ht="12.75">
      <c r="B325" s="192">
        <f>IF($F325+$M325&lt;&gt;0,'CHUNG TU'!A316,"")</f>
      </c>
      <c r="C325" s="192">
        <f>IF($F325+$M325&lt;&gt;0,IF('CHUNG TU'!B316&lt;&gt;"",'CHUNG TU'!B316,IF('CHUNG TU'!C316&lt;&gt;"",'CHUNG TU'!C316,'CHUNG TU'!D316)),"")</f>
      </c>
      <c r="D325" s="192">
        <f>IF($F325+$M325&lt;&gt;0,'CHUNG TU'!F316,"")</f>
      </c>
      <c r="E325" s="192">
        <f>IF($F325+$M325&lt;&gt;0,'CHUNG TU'!H316,"")</f>
      </c>
      <c r="F325" s="192">
        <f>IF(LEFT('CHUNG TU'!I316,3)='CPSXKD 622'!$H$7,'CHUNG TU'!$L316,0)</f>
        <v>0</v>
      </c>
      <c r="G325" s="192">
        <f>IF(AND($F325&lt;&gt;0,LEFT('CHUNG TU'!$J316,LEN('CPSXKD 622'!G$10))='CPSXKD 622'!G$10),'CPSXKD 622'!$F325,0)</f>
        <v>0</v>
      </c>
      <c r="H325" s="192">
        <f>IF(AND($F325&lt;&gt;0,LEFT('CHUNG TU'!$J316,LEN('CPSXKD 622'!H$10))='CPSXKD 622'!H$10),'CPSXKD 622'!$F325,0)</f>
        <v>0</v>
      </c>
      <c r="I325" s="192">
        <f>IF(AND($F325&lt;&gt;0,LEFT('CHUNG TU'!$J316,LEN('CPSXKD 622'!I$10))='CPSXKD 622'!I$10),'CPSXKD 622'!$F325,0)</f>
        <v>0</v>
      </c>
      <c r="J325" s="192">
        <f>IF(AND($F325&lt;&gt;0,LEFT('CHUNG TU'!$J316,LEN('CPSXKD 622'!J$10))='CPSXKD 622'!J$10),'CPSXKD 622'!$F325,0)</f>
        <v>0</v>
      </c>
      <c r="K325" s="192">
        <f t="shared" si="5"/>
        <v>0</v>
      </c>
      <c r="L325" s="201">
        <f>IF(F325&lt;&gt;0,'CHUNG TU'!J316,"")</f>
      </c>
      <c r="M325" s="192">
        <f>IF(LEFT('CHUNG TU'!J316,3)='CPSXKD 622'!$H$7,'CHUNG TU'!$L316,0)</f>
        <v>0</v>
      </c>
      <c r="N325" s="192">
        <f>IF(M325&lt;&gt;0,'CHUNG TU'!I316,"")</f>
      </c>
    </row>
    <row r="326" spans="2:14" ht="12.75">
      <c r="B326" s="192">
        <f>IF($F326+$M326&lt;&gt;0,'CHUNG TU'!A317,"")</f>
      </c>
      <c r="C326" s="192">
        <f>IF($F326+$M326&lt;&gt;0,IF('CHUNG TU'!B317&lt;&gt;"",'CHUNG TU'!B317,IF('CHUNG TU'!C317&lt;&gt;"",'CHUNG TU'!C317,'CHUNG TU'!D317)),"")</f>
      </c>
      <c r="D326" s="192">
        <f>IF($F326+$M326&lt;&gt;0,'CHUNG TU'!F317,"")</f>
      </c>
      <c r="E326" s="192">
        <f>IF($F326+$M326&lt;&gt;0,'CHUNG TU'!H317,"")</f>
      </c>
      <c r="F326" s="192">
        <f>IF(LEFT('CHUNG TU'!I317,3)='CPSXKD 622'!$H$7,'CHUNG TU'!$L317,0)</f>
        <v>0</v>
      </c>
      <c r="G326" s="192">
        <f>IF(AND($F326&lt;&gt;0,LEFT('CHUNG TU'!$J317,LEN('CPSXKD 622'!G$10))='CPSXKD 622'!G$10),'CPSXKD 622'!$F326,0)</f>
        <v>0</v>
      </c>
      <c r="H326" s="192">
        <f>IF(AND($F326&lt;&gt;0,LEFT('CHUNG TU'!$J317,LEN('CPSXKD 622'!H$10))='CPSXKD 622'!H$10),'CPSXKD 622'!$F326,0)</f>
        <v>0</v>
      </c>
      <c r="I326" s="192">
        <f>IF(AND($F326&lt;&gt;0,LEFT('CHUNG TU'!$J317,LEN('CPSXKD 622'!I$10))='CPSXKD 622'!I$10),'CPSXKD 622'!$F326,0)</f>
        <v>0</v>
      </c>
      <c r="J326" s="192">
        <f>IF(AND($F326&lt;&gt;0,LEFT('CHUNG TU'!$J317,LEN('CPSXKD 622'!J$10))='CPSXKD 622'!J$10),'CPSXKD 622'!$F326,0)</f>
        <v>0</v>
      </c>
      <c r="K326" s="192">
        <f t="shared" si="5"/>
        <v>0</v>
      </c>
      <c r="L326" s="201">
        <f>IF(F326&lt;&gt;0,'CHUNG TU'!J317,"")</f>
      </c>
      <c r="M326" s="192">
        <f>IF(LEFT('CHUNG TU'!J317,3)='CPSXKD 622'!$H$7,'CHUNG TU'!$L317,0)</f>
        <v>0</v>
      </c>
      <c r="N326" s="192">
        <f>IF(M326&lt;&gt;0,'CHUNG TU'!I317,"")</f>
      </c>
    </row>
    <row r="327" spans="2:14" ht="12.75">
      <c r="B327" s="192">
        <f>IF($F327+$M327&lt;&gt;0,'CHUNG TU'!A318,"")</f>
      </c>
      <c r="C327" s="192">
        <f>IF($F327+$M327&lt;&gt;0,IF('CHUNG TU'!B318&lt;&gt;"",'CHUNG TU'!B318,IF('CHUNG TU'!C318&lt;&gt;"",'CHUNG TU'!C318,'CHUNG TU'!D318)),"")</f>
      </c>
      <c r="D327" s="192">
        <f>IF($F327+$M327&lt;&gt;0,'CHUNG TU'!F318,"")</f>
      </c>
      <c r="E327" s="192">
        <f>IF($F327+$M327&lt;&gt;0,'CHUNG TU'!H318,"")</f>
      </c>
      <c r="F327" s="192">
        <f>IF(LEFT('CHUNG TU'!I318,3)='CPSXKD 622'!$H$7,'CHUNG TU'!$L318,0)</f>
        <v>0</v>
      </c>
      <c r="G327" s="192">
        <f>IF(AND($F327&lt;&gt;0,LEFT('CHUNG TU'!$J318,LEN('CPSXKD 622'!G$10))='CPSXKD 622'!G$10),'CPSXKD 622'!$F327,0)</f>
        <v>0</v>
      </c>
      <c r="H327" s="192">
        <f>IF(AND($F327&lt;&gt;0,LEFT('CHUNG TU'!$J318,LEN('CPSXKD 622'!H$10))='CPSXKD 622'!H$10),'CPSXKD 622'!$F327,0)</f>
        <v>0</v>
      </c>
      <c r="I327" s="192">
        <f>IF(AND($F327&lt;&gt;0,LEFT('CHUNG TU'!$J318,LEN('CPSXKD 622'!I$10))='CPSXKD 622'!I$10),'CPSXKD 622'!$F327,0)</f>
        <v>0</v>
      </c>
      <c r="J327" s="192">
        <f>IF(AND($F327&lt;&gt;0,LEFT('CHUNG TU'!$J318,LEN('CPSXKD 622'!J$10))='CPSXKD 622'!J$10),'CPSXKD 622'!$F327,0)</f>
        <v>0</v>
      </c>
      <c r="K327" s="192">
        <f t="shared" si="5"/>
        <v>0</v>
      </c>
      <c r="L327" s="201">
        <f>IF(F327&lt;&gt;0,'CHUNG TU'!J318,"")</f>
      </c>
      <c r="M327" s="192">
        <f>IF(LEFT('CHUNG TU'!J318,3)='CPSXKD 622'!$H$7,'CHUNG TU'!$L318,0)</f>
        <v>0</v>
      </c>
      <c r="N327" s="192">
        <f>IF(M327&lt;&gt;0,'CHUNG TU'!I318,"")</f>
      </c>
    </row>
    <row r="328" spans="2:14" ht="12.75">
      <c r="B328" s="192">
        <f>IF($F328+$M328&lt;&gt;0,'CHUNG TU'!A319,"")</f>
      </c>
      <c r="C328" s="192">
        <f>IF($F328+$M328&lt;&gt;0,IF('CHUNG TU'!B319&lt;&gt;"",'CHUNG TU'!B319,IF('CHUNG TU'!C319&lt;&gt;"",'CHUNG TU'!C319,'CHUNG TU'!D319)),"")</f>
      </c>
      <c r="D328" s="192">
        <f>IF($F328+$M328&lt;&gt;0,'CHUNG TU'!F319,"")</f>
      </c>
      <c r="E328" s="192">
        <f>IF($F328+$M328&lt;&gt;0,'CHUNG TU'!H319,"")</f>
      </c>
      <c r="F328" s="192">
        <f>IF(LEFT('CHUNG TU'!I319,3)='CPSXKD 622'!$H$7,'CHUNG TU'!$L319,0)</f>
        <v>0</v>
      </c>
      <c r="G328" s="192">
        <f>IF(AND($F328&lt;&gt;0,LEFT('CHUNG TU'!$J319,LEN('CPSXKD 622'!G$10))='CPSXKD 622'!G$10),'CPSXKD 622'!$F328,0)</f>
        <v>0</v>
      </c>
      <c r="H328" s="192">
        <f>IF(AND($F328&lt;&gt;0,LEFT('CHUNG TU'!$J319,LEN('CPSXKD 622'!H$10))='CPSXKD 622'!H$10),'CPSXKD 622'!$F328,0)</f>
        <v>0</v>
      </c>
      <c r="I328" s="192">
        <f>IF(AND($F328&lt;&gt;0,LEFT('CHUNG TU'!$J319,LEN('CPSXKD 622'!I$10))='CPSXKD 622'!I$10),'CPSXKD 622'!$F328,0)</f>
        <v>0</v>
      </c>
      <c r="J328" s="192">
        <f>IF(AND($F328&lt;&gt;0,LEFT('CHUNG TU'!$J319,LEN('CPSXKD 622'!J$10))='CPSXKD 622'!J$10),'CPSXKD 622'!$F328,0)</f>
        <v>0</v>
      </c>
      <c r="K328" s="192">
        <f t="shared" si="5"/>
        <v>0</v>
      </c>
      <c r="L328" s="201">
        <f>IF(F328&lt;&gt;0,'CHUNG TU'!J319,"")</f>
      </c>
      <c r="M328" s="192">
        <f>IF(LEFT('CHUNG TU'!J319,3)='CPSXKD 622'!$H$7,'CHUNG TU'!$L319,0)</f>
        <v>0</v>
      </c>
      <c r="N328" s="192">
        <f>IF(M328&lt;&gt;0,'CHUNG TU'!I319,"")</f>
      </c>
    </row>
    <row r="329" spans="2:14" ht="12.75">
      <c r="B329" s="192">
        <f>IF($F329+$M329&lt;&gt;0,'CHUNG TU'!A320,"")</f>
      </c>
      <c r="C329" s="192">
        <f>IF($F329+$M329&lt;&gt;0,IF('CHUNG TU'!B320&lt;&gt;"",'CHUNG TU'!B320,IF('CHUNG TU'!C320&lt;&gt;"",'CHUNG TU'!C320,'CHUNG TU'!D320)),"")</f>
      </c>
      <c r="D329" s="192">
        <f>IF($F329+$M329&lt;&gt;0,'CHUNG TU'!F320,"")</f>
      </c>
      <c r="E329" s="192">
        <f>IF($F329+$M329&lt;&gt;0,'CHUNG TU'!H320,"")</f>
      </c>
      <c r="F329" s="192">
        <f>IF(LEFT('CHUNG TU'!I320,3)='CPSXKD 622'!$H$7,'CHUNG TU'!$L320,0)</f>
        <v>0</v>
      </c>
      <c r="G329" s="192">
        <f>IF(AND($F329&lt;&gt;0,LEFT('CHUNG TU'!$J320,LEN('CPSXKD 622'!G$10))='CPSXKD 622'!G$10),'CPSXKD 622'!$F329,0)</f>
        <v>0</v>
      </c>
      <c r="H329" s="192">
        <f>IF(AND($F329&lt;&gt;0,LEFT('CHUNG TU'!$J320,LEN('CPSXKD 622'!H$10))='CPSXKD 622'!H$10),'CPSXKD 622'!$F329,0)</f>
        <v>0</v>
      </c>
      <c r="I329" s="192">
        <f>IF(AND($F329&lt;&gt;0,LEFT('CHUNG TU'!$J320,LEN('CPSXKD 622'!I$10))='CPSXKD 622'!I$10),'CPSXKD 622'!$F329,0)</f>
        <v>0</v>
      </c>
      <c r="J329" s="192">
        <f>IF(AND($F329&lt;&gt;0,LEFT('CHUNG TU'!$J320,LEN('CPSXKD 622'!J$10))='CPSXKD 622'!J$10),'CPSXKD 622'!$F329,0)</f>
        <v>0</v>
      </c>
      <c r="K329" s="192">
        <f t="shared" si="5"/>
        <v>0</v>
      </c>
      <c r="L329" s="201">
        <f>IF(F329&lt;&gt;0,'CHUNG TU'!J320,"")</f>
      </c>
      <c r="M329" s="192">
        <f>IF(LEFT('CHUNG TU'!J320,3)='CPSXKD 622'!$H$7,'CHUNG TU'!$L320,0)</f>
        <v>0</v>
      </c>
      <c r="N329" s="192">
        <f>IF(M329&lt;&gt;0,'CHUNG TU'!I320,"")</f>
      </c>
    </row>
    <row r="330" spans="2:14" ht="12.75">
      <c r="B330" s="192">
        <f>IF($F330+$M330&lt;&gt;0,'CHUNG TU'!A321,"")</f>
      </c>
      <c r="C330" s="192">
        <f>IF($F330+$M330&lt;&gt;0,IF('CHUNG TU'!B321&lt;&gt;"",'CHUNG TU'!B321,IF('CHUNG TU'!C321&lt;&gt;"",'CHUNG TU'!C321,'CHUNG TU'!D321)),"")</f>
      </c>
      <c r="D330" s="192">
        <f>IF($F330+$M330&lt;&gt;0,'CHUNG TU'!F321,"")</f>
      </c>
      <c r="E330" s="192">
        <f>IF($F330+$M330&lt;&gt;0,'CHUNG TU'!H321,"")</f>
      </c>
      <c r="F330" s="192">
        <f>IF(LEFT('CHUNG TU'!I321,3)='CPSXKD 622'!$H$7,'CHUNG TU'!$L321,0)</f>
        <v>0</v>
      </c>
      <c r="G330" s="192">
        <f>IF(AND($F330&lt;&gt;0,LEFT('CHUNG TU'!$J321,LEN('CPSXKD 622'!G$10))='CPSXKD 622'!G$10),'CPSXKD 622'!$F330,0)</f>
        <v>0</v>
      </c>
      <c r="H330" s="192">
        <f>IF(AND($F330&lt;&gt;0,LEFT('CHUNG TU'!$J321,LEN('CPSXKD 622'!H$10))='CPSXKD 622'!H$10),'CPSXKD 622'!$F330,0)</f>
        <v>0</v>
      </c>
      <c r="I330" s="192">
        <f>IF(AND($F330&lt;&gt;0,LEFT('CHUNG TU'!$J321,LEN('CPSXKD 622'!I$10))='CPSXKD 622'!I$10),'CPSXKD 622'!$F330,0)</f>
        <v>0</v>
      </c>
      <c r="J330" s="192">
        <f>IF(AND($F330&lt;&gt;0,LEFT('CHUNG TU'!$J321,LEN('CPSXKD 622'!J$10))='CPSXKD 622'!J$10),'CPSXKD 622'!$F330,0)</f>
        <v>0</v>
      </c>
      <c r="K330" s="192">
        <f t="shared" si="5"/>
        <v>0</v>
      </c>
      <c r="L330" s="201">
        <f>IF(F330&lt;&gt;0,'CHUNG TU'!J321,"")</f>
      </c>
      <c r="M330" s="192">
        <f>IF(LEFT('CHUNG TU'!J321,3)='CPSXKD 622'!$H$7,'CHUNG TU'!$L321,0)</f>
        <v>0</v>
      </c>
      <c r="N330" s="192">
        <f>IF(M330&lt;&gt;0,'CHUNG TU'!I321,"")</f>
      </c>
    </row>
    <row r="331" spans="2:14" ht="12.75">
      <c r="B331" s="192">
        <f>IF($F331+$M331&lt;&gt;0,'CHUNG TU'!A322,"")</f>
      </c>
      <c r="C331" s="192">
        <f>IF($F331+$M331&lt;&gt;0,IF('CHUNG TU'!B322&lt;&gt;"",'CHUNG TU'!B322,IF('CHUNG TU'!C322&lt;&gt;"",'CHUNG TU'!C322,'CHUNG TU'!D322)),"")</f>
      </c>
      <c r="D331" s="192">
        <f>IF($F331+$M331&lt;&gt;0,'CHUNG TU'!F322,"")</f>
      </c>
      <c r="E331" s="192">
        <f>IF($F331+$M331&lt;&gt;0,'CHUNG TU'!H322,"")</f>
      </c>
      <c r="F331" s="192">
        <f>IF(LEFT('CHUNG TU'!I322,3)='CPSXKD 622'!$H$7,'CHUNG TU'!$L322,0)</f>
        <v>0</v>
      </c>
      <c r="G331" s="192">
        <f>IF(AND($F331&lt;&gt;0,LEFT('CHUNG TU'!$J322,LEN('CPSXKD 622'!G$10))='CPSXKD 622'!G$10),'CPSXKD 622'!$F331,0)</f>
        <v>0</v>
      </c>
      <c r="H331" s="192">
        <f>IF(AND($F331&lt;&gt;0,LEFT('CHUNG TU'!$J322,LEN('CPSXKD 622'!H$10))='CPSXKD 622'!H$10),'CPSXKD 622'!$F331,0)</f>
        <v>0</v>
      </c>
      <c r="I331" s="192">
        <f>IF(AND($F331&lt;&gt;0,LEFT('CHUNG TU'!$J322,LEN('CPSXKD 622'!I$10))='CPSXKD 622'!I$10),'CPSXKD 622'!$F331,0)</f>
        <v>0</v>
      </c>
      <c r="J331" s="192">
        <f>IF(AND($F331&lt;&gt;0,LEFT('CHUNG TU'!$J322,LEN('CPSXKD 622'!J$10))='CPSXKD 622'!J$10),'CPSXKD 622'!$F331,0)</f>
        <v>0</v>
      </c>
      <c r="K331" s="192">
        <f t="shared" si="5"/>
        <v>0</v>
      </c>
      <c r="L331" s="201">
        <f>IF(F331&lt;&gt;0,'CHUNG TU'!J322,"")</f>
      </c>
      <c r="M331" s="192">
        <f>IF(LEFT('CHUNG TU'!J322,3)='CPSXKD 622'!$H$7,'CHUNG TU'!$L322,0)</f>
        <v>0</v>
      </c>
      <c r="N331" s="192">
        <f>IF(M331&lt;&gt;0,'CHUNG TU'!I322,"")</f>
      </c>
    </row>
    <row r="332" spans="2:14" ht="12.75">
      <c r="B332" s="192">
        <f>IF($F332+$M332&lt;&gt;0,'CHUNG TU'!A323,"")</f>
      </c>
      <c r="C332" s="192">
        <f>IF($F332+$M332&lt;&gt;0,IF('CHUNG TU'!B323&lt;&gt;"",'CHUNG TU'!B323,IF('CHUNG TU'!C323&lt;&gt;"",'CHUNG TU'!C323,'CHUNG TU'!D323)),"")</f>
      </c>
      <c r="D332" s="192">
        <f>IF($F332+$M332&lt;&gt;0,'CHUNG TU'!F323,"")</f>
      </c>
      <c r="E332" s="192">
        <f>IF($F332+$M332&lt;&gt;0,'CHUNG TU'!H323,"")</f>
      </c>
      <c r="F332" s="192">
        <f>IF(LEFT('CHUNG TU'!I323,3)='CPSXKD 622'!$H$7,'CHUNG TU'!$L323,0)</f>
        <v>0</v>
      </c>
      <c r="G332" s="192">
        <f>IF(AND($F332&lt;&gt;0,LEFT('CHUNG TU'!$J323,LEN('CPSXKD 622'!G$10))='CPSXKD 622'!G$10),'CPSXKD 622'!$F332,0)</f>
        <v>0</v>
      </c>
      <c r="H332" s="192">
        <f>IF(AND($F332&lt;&gt;0,LEFT('CHUNG TU'!$J323,LEN('CPSXKD 622'!H$10))='CPSXKD 622'!H$10),'CPSXKD 622'!$F332,0)</f>
        <v>0</v>
      </c>
      <c r="I332" s="192">
        <f>IF(AND($F332&lt;&gt;0,LEFT('CHUNG TU'!$J323,LEN('CPSXKD 622'!I$10))='CPSXKD 622'!I$10),'CPSXKD 622'!$F332,0)</f>
        <v>0</v>
      </c>
      <c r="J332" s="192">
        <f>IF(AND($F332&lt;&gt;0,LEFT('CHUNG TU'!$J323,LEN('CPSXKD 622'!J$10))='CPSXKD 622'!J$10),'CPSXKD 622'!$F332,0)</f>
        <v>0</v>
      </c>
      <c r="K332" s="192">
        <f t="shared" si="5"/>
        <v>0</v>
      </c>
      <c r="L332" s="201">
        <f>IF(F332&lt;&gt;0,'CHUNG TU'!J323,"")</f>
      </c>
      <c r="M332" s="192">
        <f>IF(LEFT('CHUNG TU'!J323,3)='CPSXKD 622'!$H$7,'CHUNG TU'!$L323,0)</f>
        <v>0</v>
      </c>
      <c r="N332" s="192">
        <f>IF(M332&lt;&gt;0,'CHUNG TU'!I323,"")</f>
      </c>
    </row>
    <row r="333" spans="2:14" ht="12.75">
      <c r="B333" s="192">
        <f>IF($F333+$M333&lt;&gt;0,'CHUNG TU'!A324,"")</f>
      </c>
      <c r="C333" s="192">
        <f>IF($F333+$M333&lt;&gt;0,IF('CHUNG TU'!B324&lt;&gt;"",'CHUNG TU'!B324,IF('CHUNG TU'!C324&lt;&gt;"",'CHUNG TU'!C324,'CHUNG TU'!D324)),"")</f>
      </c>
      <c r="D333" s="192">
        <f>IF($F333+$M333&lt;&gt;0,'CHUNG TU'!F324,"")</f>
      </c>
      <c r="E333" s="192">
        <f>IF($F333+$M333&lt;&gt;0,'CHUNG TU'!H324,"")</f>
      </c>
      <c r="F333" s="192">
        <f>IF(LEFT('CHUNG TU'!I324,3)='CPSXKD 622'!$H$7,'CHUNG TU'!$L324,0)</f>
        <v>0</v>
      </c>
      <c r="G333" s="192">
        <f>IF(AND($F333&lt;&gt;0,LEFT('CHUNG TU'!$J324,LEN('CPSXKD 622'!G$10))='CPSXKD 622'!G$10),'CPSXKD 622'!$F333,0)</f>
        <v>0</v>
      </c>
      <c r="H333" s="192">
        <f>IF(AND($F333&lt;&gt;0,LEFT('CHUNG TU'!$J324,LEN('CPSXKD 622'!H$10))='CPSXKD 622'!H$10),'CPSXKD 622'!$F333,0)</f>
        <v>0</v>
      </c>
      <c r="I333" s="192">
        <f>IF(AND($F333&lt;&gt;0,LEFT('CHUNG TU'!$J324,LEN('CPSXKD 622'!I$10))='CPSXKD 622'!I$10),'CPSXKD 622'!$F333,0)</f>
        <v>0</v>
      </c>
      <c r="J333" s="192">
        <f>IF(AND($F333&lt;&gt;0,LEFT('CHUNG TU'!$J324,LEN('CPSXKD 622'!J$10))='CPSXKD 622'!J$10),'CPSXKD 622'!$F333,0)</f>
        <v>0</v>
      </c>
      <c r="K333" s="192">
        <f t="shared" si="5"/>
        <v>0</v>
      </c>
      <c r="L333" s="201">
        <f>IF(F333&lt;&gt;0,'CHUNG TU'!J324,"")</f>
      </c>
      <c r="M333" s="192">
        <f>IF(LEFT('CHUNG TU'!J324,3)='CPSXKD 622'!$H$7,'CHUNG TU'!$L324,0)</f>
        <v>0</v>
      </c>
      <c r="N333" s="192">
        <f>IF(M333&lt;&gt;0,'CHUNG TU'!I324,"")</f>
      </c>
    </row>
    <row r="334" spans="2:14" ht="12.75">
      <c r="B334" s="192">
        <f>IF($F334+$M334&lt;&gt;0,'CHUNG TU'!A325,"")</f>
      </c>
      <c r="C334" s="192">
        <f>IF($F334+$M334&lt;&gt;0,IF('CHUNG TU'!B325&lt;&gt;"",'CHUNG TU'!B325,IF('CHUNG TU'!C325&lt;&gt;"",'CHUNG TU'!C325,'CHUNG TU'!D325)),"")</f>
      </c>
      <c r="D334" s="192">
        <f>IF($F334+$M334&lt;&gt;0,'CHUNG TU'!F325,"")</f>
      </c>
      <c r="E334" s="192">
        <f>IF($F334+$M334&lt;&gt;0,'CHUNG TU'!H325,"")</f>
      </c>
      <c r="F334" s="192">
        <f>IF(LEFT('CHUNG TU'!I325,3)='CPSXKD 622'!$H$7,'CHUNG TU'!$L325,0)</f>
        <v>0</v>
      </c>
      <c r="G334" s="192">
        <f>IF(AND($F334&lt;&gt;0,LEFT('CHUNG TU'!$J325,LEN('CPSXKD 622'!G$10))='CPSXKD 622'!G$10),'CPSXKD 622'!$F334,0)</f>
        <v>0</v>
      </c>
      <c r="H334" s="192">
        <f>IF(AND($F334&lt;&gt;0,LEFT('CHUNG TU'!$J325,LEN('CPSXKD 622'!H$10))='CPSXKD 622'!H$10),'CPSXKD 622'!$F334,0)</f>
        <v>0</v>
      </c>
      <c r="I334" s="192">
        <f>IF(AND($F334&lt;&gt;0,LEFT('CHUNG TU'!$J325,LEN('CPSXKD 622'!I$10))='CPSXKD 622'!I$10),'CPSXKD 622'!$F334,0)</f>
        <v>0</v>
      </c>
      <c r="J334" s="192">
        <f>IF(AND($F334&lt;&gt;0,LEFT('CHUNG TU'!$J325,LEN('CPSXKD 622'!J$10))='CPSXKD 622'!J$10),'CPSXKD 622'!$F334,0)</f>
        <v>0</v>
      </c>
      <c r="K334" s="192">
        <f t="shared" si="5"/>
        <v>0</v>
      </c>
      <c r="L334" s="201">
        <f>IF(F334&lt;&gt;0,'CHUNG TU'!J325,"")</f>
      </c>
      <c r="M334" s="192">
        <f>IF(LEFT('CHUNG TU'!J325,3)='CPSXKD 622'!$H$7,'CHUNG TU'!$L325,0)</f>
        <v>0</v>
      </c>
      <c r="N334" s="192">
        <f>IF(M334&lt;&gt;0,'CHUNG TU'!I325,"")</f>
      </c>
    </row>
    <row r="335" spans="2:14" ht="12.75">
      <c r="B335" s="192">
        <f>IF($F335+$M335&lt;&gt;0,'CHUNG TU'!A326,"")</f>
      </c>
      <c r="C335" s="192">
        <f>IF($F335+$M335&lt;&gt;0,IF('CHUNG TU'!B326&lt;&gt;"",'CHUNG TU'!B326,IF('CHUNG TU'!C326&lt;&gt;"",'CHUNG TU'!C326,'CHUNG TU'!D326)),"")</f>
      </c>
      <c r="D335" s="192">
        <f>IF($F335+$M335&lt;&gt;0,'CHUNG TU'!F326,"")</f>
      </c>
      <c r="E335" s="192">
        <f>IF($F335+$M335&lt;&gt;0,'CHUNG TU'!H326,"")</f>
      </c>
      <c r="F335" s="192">
        <f>IF(LEFT('CHUNG TU'!I326,3)='CPSXKD 622'!$H$7,'CHUNG TU'!$L326,0)</f>
        <v>0</v>
      </c>
      <c r="G335" s="192">
        <f>IF(AND($F335&lt;&gt;0,LEFT('CHUNG TU'!$J326,LEN('CPSXKD 622'!G$10))='CPSXKD 622'!G$10),'CPSXKD 622'!$F335,0)</f>
        <v>0</v>
      </c>
      <c r="H335" s="192">
        <f>IF(AND($F335&lt;&gt;0,LEFT('CHUNG TU'!$J326,LEN('CPSXKD 622'!H$10))='CPSXKD 622'!H$10),'CPSXKD 622'!$F335,0)</f>
        <v>0</v>
      </c>
      <c r="I335" s="192">
        <f>IF(AND($F335&lt;&gt;0,LEFT('CHUNG TU'!$J326,LEN('CPSXKD 622'!I$10))='CPSXKD 622'!I$10),'CPSXKD 622'!$F335,0)</f>
        <v>0</v>
      </c>
      <c r="J335" s="192">
        <f>IF(AND($F335&lt;&gt;0,LEFT('CHUNG TU'!$J326,LEN('CPSXKD 622'!J$10))='CPSXKD 622'!J$10),'CPSXKD 622'!$F335,0)</f>
        <v>0</v>
      </c>
      <c r="K335" s="192">
        <f aca="true" t="shared" si="6" ref="K335:K340">F335-SUM(G335:J335)</f>
        <v>0</v>
      </c>
      <c r="L335" s="201">
        <f>IF(F335&lt;&gt;0,'CHUNG TU'!J326,"")</f>
      </c>
      <c r="M335" s="192">
        <f>IF(LEFT('CHUNG TU'!J326,3)='CPSXKD 622'!$H$7,'CHUNG TU'!$L326,0)</f>
        <v>0</v>
      </c>
      <c r="N335" s="192">
        <f>IF(M335&lt;&gt;0,'CHUNG TU'!I326,"")</f>
      </c>
    </row>
    <row r="336" spans="2:14" ht="12.75">
      <c r="B336" s="192">
        <f>IF($F336+$M336&lt;&gt;0,'CHUNG TU'!A327,"")</f>
      </c>
      <c r="C336" s="192">
        <f>IF($F336+$M336&lt;&gt;0,IF('CHUNG TU'!B327&lt;&gt;"",'CHUNG TU'!B327,IF('CHUNG TU'!C327&lt;&gt;"",'CHUNG TU'!C327,'CHUNG TU'!D327)),"")</f>
      </c>
      <c r="D336" s="192">
        <f>IF($F336+$M336&lt;&gt;0,'CHUNG TU'!F327,"")</f>
      </c>
      <c r="E336" s="192">
        <f>IF($F336+$M336&lt;&gt;0,'CHUNG TU'!H327,"")</f>
      </c>
      <c r="F336" s="192">
        <f>IF(LEFT('CHUNG TU'!I327,3)='CPSXKD 622'!$H$7,'CHUNG TU'!$L327,0)</f>
        <v>0</v>
      </c>
      <c r="G336" s="192">
        <f>IF(AND($F336&lt;&gt;0,LEFT('CHUNG TU'!$J327,LEN('CPSXKD 622'!G$10))='CPSXKD 622'!G$10),'CPSXKD 622'!$F336,0)</f>
        <v>0</v>
      </c>
      <c r="H336" s="192">
        <f>IF(AND($F336&lt;&gt;0,LEFT('CHUNG TU'!$J327,LEN('CPSXKD 622'!H$10))='CPSXKD 622'!H$10),'CPSXKD 622'!$F336,0)</f>
        <v>0</v>
      </c>
      <c r="I336" s="192">
        <f>IF(AND($F336&lt;&gt;0,LEFT('CHUNG TU'!$J327,LEN('CPSXKD 622'!I$10))='CPSXKD 622'!I$10),'CPSXKD 622'!$F336,0)</f>
        <v>0</v>
      </c>
      <c r="J336" s="192">
        <f>IF(AND($F336&lt;&gt;0,LEFT('CHUNG TU'!$J327,LEN('CPSXKD 622'!J$10))='CPSXKD 622'!J$10),'CPSXKD 622'!$F336,0)</f>
        <v>0</v>
      </c>
      <c r="K336" s="192">
        <f t="shared" si="6"/>
        <v>0</v>
      </c>
      <c r="L336" s="201">
        <f>IF(F336&lt;&gt;0,'CHUNG TU'!J327,"")</f>
      </c>
      <c r="M336" s="192">
        <f>IF(LEFT('CHUNG TU'!J327,3)='CPSXKD 622'!$H$7,'CHUNG TU'!$L327,0)</f>
        <v>0</v>
      </c>
      <c r="N336" s="192">
        <f>IF(M336&lt;&gt;0,'CHUNG TU'!I327,"")</f>
      </c>
    </row>
    <row r="337" spans="2:14" ht="12.75">
      <c r="B337" s="192">
        <f>IF($F337+$M337&lt;&gt;0,'CHUNG TU'!A328,"")</f>
      </c>
      <c r="C337" s="192">
        <f>IF($F337+$M337&lt;&gt;0,IF('CHUNG TU'!B328&lt;&gt;"",'CHUNG TU'!B328,IF('CHUNG TU'!C328&lt;&gt;"",'CHUNG TU'!C328,'CHUNG TU'!D328)),"")</f>
      </c>
      <c r="D337" s="192">
        <f>IF($F337+$M337&lt;&gt;0,'CHUNG TU'!F328,"")</f>
      </c>
      <c r="E337" s="192">
        <f>IF($F337+$M337&lt;&gt;0,'CHUNG TU'!H328,"")</f>
      </c>
      <c r="F337" s="192">
        <f>IF(LEFT('CHUNG TU'!I328,3)='CPSXKD 622'!$H$7,'CHUNG TU'!$L328,0)</f>
        <v>0</v>
      </c>
      <c r="G337" s="192">
        <f>IF(AND($F337&lt;&gt;0,LEFT('CHUNG TU'!$J328,LEN('CPSXKD 622'!G$10))='CPSXKD 622'!G$10),'CPSXKD 622'!$F337,0)</f>
        <v>0</v>
      </c>
      <c r="H337" s="192">
        <f>IF(AND($F337&lt;&gt;0,LEFT('CHUNG TU'!$J328,LEN('CPSXKD 622'!H$10))='CPSXKD 622'!H$10),'CPSXKD 622'!$F337,0)</f>
        <v>0</v>
      </c>
      <c r="I337" s="192">
        <f>IF(AND($F337&lt;&gt;0,LEFT('CHUNG TU'!$J328,LEN('CPSXKD 622'!I$10))='CPSXKD 622'!I$10),'CPSXKD 622'!$F337,0)</f>
        <v>0</v>
      </c>
      <c r="J337" s="192">
        <f>IF(AND($F337&lt;&gt;0,LEFT('CHUNG TU'!$J328,LEN('CPSXKD 622'!J$10))='CPSXKD 622'!J$10),'CPSXKD 622'!$F337,0)</f>
        <v>0</v>
      </c>
      <c r="K337" s="192">
        <f t="shared" si="6"/>
        <v>0</v>
      </c>
      <c r="L337" s="201">
        <f>IF(F337&lt;&gt;0,'CHUNG TU'!J328,"")</f>
      </c>
      <c r="M337" s="192">
        <f>IF(LEFT('CHUNG TU'!J328,3)='CPSXKD 622'!$H$7,'CHUNG TU'!$L328,0)</f>
        <v>0</v>
      </c>
      <c r="N337" s="192">
        <f>IF(M337&lt;&gt;0,'CHUNG TU'!I328,"")</f>
      </c>
    </row>
    <row r="338" spans="2:14" ht="12.75">
      <c r="B338" s="192">
        <f>IF($F338+$M338&lt;&gt;0,'CHUNG TU'!A329,"")</f>
      </c>
      <c r="C338" s="192">
        <f>IF($F338+$M338&lt;&gt;0,IF('CHUNG TU'!B329&lt;&gt;"",'CHUNG TU'!B329,IF('CHUNG TU'!C329&lt;&gt;"",'CHUNG TU'!C329,'CHUNG TU'!D329)),"")</f>
      </c>
      <c r="D338" s="192">
        <f>IF($F338+$M338&lt;&gt;0,'CHUNG TU'!F329,"")</f>
      </c>
      <c r="E338" s="192">
        <f>IF($F338+$M338&lt;&gt;0,'CHUNG TU'!H329,"")</f>
      </c>
      <c r="F338" s="192">
        <f>IF(LEFT('CHUNG TU'!I329,3)='CPSXKD 622'!$H$7,'CHUNG TU'!$L329,0)</f>
        <v>0</v>
      </c>
      <c r="G338" s="192">
        <f>IF(AND($F338&lt;&gt;0,LEFT('CHUNG TU'!$J329,LEN('CPSXKD 622'!G$10))='CPSXKD 622'!G$10),'CPSXKD 622'!$F338,0)</f>
        <v>0</v>
      </c>
      <c r="H338" s="192">
        <f>IF(AND($F338&lt;&gt;0,LEFT('CHUNG TU'!$J329,LEN('CPSXKD 622'!H$10))='CPSXKD 622'!H$10),'CPSXKD 622'!$F338,0)</f>
        <v>0</v>
      </c>
      <c r="I338" s="192">
        <f>IF(AND($F338&lt;&gt;0,LEFT('CHUNG TU'!$J329,LEN('CPSXKD 622'!I$10))='CPSXKD 622'!I$10),'CPSXKD 622'!$F338,0)</f>
        <v>0</v>
      </c>
      <c r="J338" s="192">
        <f>IF(AND($F338&lt;&gt;0,LEFT('CHUNG TU'!$J329,LEN('CPSXKD 622'!J$10))='CPSXKD 622'!J$10),'CPSXKD 622'!$F338,0)</f>
        <v>0</v>
      </c>
      <c r="K338" s="192">
        <f t="shared" si="6"/>
        <v>0</v>
      </c>
      <c r="L338" s="201">
        <f>IF(F338&lt;&gt;0,'CHUNG TU'!J329,"")</f>
      </c>
      <c r="M338" s="192">
        <f>IF(LEFT('CHUNG TU'!J329,3)='CPSXKD 622'!$H$7,'CHUNG TU'!$L329,0)</f>
        <v>0</v>
      </c>
      <c r="N338" s="192">
        <f>IF(M338&lt;&gt;0,'CHUNG TU'!I329,"")</f>
      </c>
    </row>
    <row r="339" spans="2:14" ht="12.75">
      <c r="B339" s="192">
        <f>IF($F339+$M339&lt;&gt;0,'CHUNG TU'!A330,"")</f>
      </c>
      <c r="C339" s="192">
        <f>IF($F339+$M339&lt;&gt;0,IF('CHUNG TU'!B330&lt;&gt;"",'CHUNG TU'!B330,IF('CHUNG TU'!C330&lt;&gt;"",'CHUNG TU'!C330,'CHUNG TU'!D330)),"")</f>
      </c>
      <c r="D339" s="192">
        <f>IF($F339+$M339&lt;&gt;0,'CHUNG TU'!F330,"")</f>
      </c>
      <c r="E339" s="192">
        <f>IF($F339+$M339&lt;&gt;0,'CHUNG TU'!H330,"")</f>
      </c>
      <c r="F339" s="192">
        <f>IF(LEFT('CHUNG TU'!I330,3)='CPSXKD 622'!$H$7,'CHUNG TU'!$L330,0)</f>
        <v>0</v>
      </c>
      <c r="G339" s="192">
        <f>IF(AND($F339&lt;&gt;0,LEFT('CHUNG TU'!$J330,LEN('CPSXKD 622'!G$10))='CPSXKD 622'!G$10),'CPSXKD 622'!$F339,0)</f>
        <v>0</v>
      </c>
      <c r="H339" s="192">
        <f>IF(AND($F339&lt;&gt;0,LEFT('CHUNG TU'!$J330,LEN('CPSXKD 622'!H$10))='CPSXKD 622'!H$10),'CPSXKD 622'!$F339,0)</f>
        <v>0</v>
      </c>
      <c r="I339" s="192">
        <f>IF(AND($F339&lt;&gt;0,LEFT('CHUNG TU'!$J330,LEN('CPSXKD 622'!I$10))='CPSXKD 622'!I$10),'CPSXKD 622'!$F339,0)</f>
        <v>0</v>
      </c>
      <c r="J339" s="192">
        <f>IF(AND($F339&lt;&gt;0,LEFT('CHUNG TU'!$J330,LEN('CPSXKD 622'!J$10))='CPSXKD 622'!J$10),'CPSXKD 622'!$F339,0)</f>
        <v>0</v>
      </c>
      <c r="K339" s="192">
        <f t="shared" si="6"/>
        <v>0</v>
      </c>
      <c r="L339" s="201">
        <f>IF(F339&lt;&gt;0,'CHUNG TU'!J330,"")</f>
      </c>
      <c r="M339" s="192">
        <f>IF(LEFT('CHUNG TU'!J330,3)='CPSXKD 622'!$H$7,'CHUNG TU'!$L330,0)</f>
        <v>0</v>
      </c>
      <c r="N339" s="192">
        <f>IF(M339&lt;&gt;0,'CHUNG TU'!I330,"")</f>
      </c>
    </row>
    <row r="340" spans="2:14" ht="12.75">
      <c r="B340" s="192">
        <f>IF($F340+$M340&lt;&gt;0,'CHUNG TU'!A331,"")</f>
      </c>
      <c r="C340" s="192">
        <f>IF($F340+$M340&lt;&gt;0,IF('CHUNG TU'!B331&lt;&gt;"",'CHUNG TU'!B331,IF('CHUNG TU'!C331&lt;&gt;"",'CHUNG TU'!C331,'CHUNG TU'!D331)),"")</f>
      </c>
      <c r="D340" s="192">
        <f>IF($F340+$M340&lt;&gt;0,'CHUNG TU'!F331,"")</f>
      </c>
      <c r="E340" s="192">
        <f>IF($F340+$M340&lt;&gt;0,'CHUNG TU'!H331,"")</f>
      </c>
      <c r="F340" s="192">
        <f>IF(LEFT('CHUNG TU'!I331,3)='CPSXKD 622'!$H$7,'CHUNG TU'!$L331,0)</f>
        <v>0</v>
      </c>
      <c r="G340" s="192">
        <f>IF(AND($F340&lt;&gt;0,LEFT('CHUNG TU'!$J331,LEN('CPSXKD 622'!G$10))='CPSXKD 622'!G$10),'CPSXKD 622'!$F340,0)</f>
        <v>0</v>
      </c>
      <c r="H340" s="192">
        <f>IF(AND($F340&lt;&gt;0,LEFT('CHUNG TU'!$J331,LEN('CPSXKD 622'!H$10))='CPSXKD 622'!H$10),'CPSXKD 622'!$F340,0)</f>
        <v>0</v>
      </c>
      <c r="I340" s="192">
        <f>IF(AND($F340&lt;&gt;0,LEFT('CHUNG TU'!$J331,LEN('CPSXKD 622'!I$10))='CPSXKD 622'!I$10),'CPSXKD 622'!$F340,0)</f>
        <v>0</v>
      </c>
      <c r="J340" s="192">
        <f>IF(AND($F340&lt;&gt;0,LEFT('CHUNG TU'!$J331,LEN('CPSXKD 622'!J$10))='CPSXKD 622'!J$10),'CPSXKD 622'!$F340,0)</f>
        <v>0</v>
      </c>
      <c r="K340" s="192">
        <f t="shared" si="6"/>
        <v>0</v>
      </c>
      <c r="L340" s="201">
        <f>IF(F340&lt;&gt;0,'CHUNG TU'!J331,"")</f>
      </c>
      <c r="M340" s="192">
        <f>IF(LEFT('CHUNG TU'!J331,3)='CPSXKD 622'!$H$7,'CHUNG TU'!$L331,0)</f>
        <v>0</v>
      </c>
      <c r="N340" s="192">
        <f>IF(M340&lt;&gt;0,'CHUNG TU'!I331,"")</f>
      </c>
    </row>
    <row r="350" spans="2:8" ht="15.75">
      <c r="B350" s="16"/>
      <c r="C350" s="20" t="s">
        <v>518</v>
      </c>
      <c r="D350" s="16"/>
      <c r="E350" s="16"/>
      <c r="F350" s="16"/>
      <c r="G350" s="16"/>
      <c r="H350" s="16"/>
    </row>
    <row r="351" spans="2:8" ht="15.75">
      <c r="B351" s="16"/>
      <c r="C351" s="20" t="s">
        <v>519</v>
      </c>
      <c r="D351" s="16"/>
      <c r="E351" s="16"/>
      <c r="F351" s="16"/>
      <c r="G351" s="18"/>
      <c r="H351" s="16"/>
    </row>
    <row r="352" spans="2:10" ht="15.75">
      <c r="B352" s="16"/>
      <c r="C352" s="16"/>
      <c r="D352" s="16"/>
      <c r="E352" s="16"/>
      <c r="F352" s="16"/>
      <c r="J352" s="18" t="s">
        <v>521</v>
      </c>
    </row>
    <row r="353" spans="2:10" ht="15.75">
      <c r="B353" s="237" t="s">
        <v>513</v>
      </c>
      <c r="C353" s="237"/>
      <c r="D353" s="237"/>
      <c r="E353" s="237" t="s">
        <v>514</v>
      </c>
      <c r="F353" s="237"/>
      <c r="J353" s="18" t="s">
        <v>515</v>
      </c>
    </row>
    <row r="354" spans="2:10" ht="15.75">
      <c r="B354" s="237" t="s">
        <v>520</v>
      </c>
      <c r="C354" s="237"/>
      <c r="D354" s="237"/>
      <c r="E354" s="237" t="s">
        <v>516</v>
      </c>
      <c r="F354" s="237"/>
      <c r="J354" s="18" t="s">
        <v>522</v>
      </c>
    </row>
  </sheetData>
  <sheetProtection/>
  <mergeCells count="13">
    <mergeCell ref="J2:N2"/>
    <mergeCell ref="M9:N10"/>
    <mergeCell ref="K10:L10"/>
    <mergeCell ref="G9:L9"/>
    <mergeCell ref="B6:N6"/>
    <mergeCell ref="B9:B11"/>
    <mergeCell ref="C9:D10"/>
    <mergeCell ref="E9:E11"/>
    <mergeCell ref="B353:D353"/>
    <mergeCell ref="E353:F353"/>
    <mergeCell ref="B354:D354"/>
    <mergeCell ref="E354:F354"/>
    <mergeCell ref="F9:F11"/>
  </mergeCells>
  <printOptions/>
  <pageMargins left="0.75" right="0.75" top="1" bottom="1" header="0.5" footer="0.5"/>
  <pageSetup horizontalDpi="600" verticalDpi="600" orientation="portrait" paperSize="9" r:id="rId1"/>
  <ignoredErrors>
    <ignoredError sqref="G10:J11" numberStoredAsText="1"/>
  </ignoredErrors>
</worksheet>
</file>

<file path=xl/worksheets/sheet8.xml><?xml version="1.0" encoding="utf-8"?>
<worksheet xmlns="http://schemas.openxmlformats.org/spreadsheetml/2006/main" xmlns:r="http://schemas.openxmlformats.org/officeDocument/2006/relationships">
  <sheetPr>
    <tabColor theme="0"/>
  </sheetPr>
  <dimension ref="B3:J45"/>
  <sheetViews>
    <sheetView showGridLines="0" showZeros="0" zoomScalePageLayoutView="0" workbookViewId="0" topLeftCell="A5">
      <selection activeCell="E12" sqref="E12"/>
    </sheetView>
  </sheetViews>
  <sheetFormatPr defaultColWidth="9.140625" defaultRowHeight="12.75"/>
  <cols>
    <col min="1" max="1" width="3.28125" style="0" customWidth="1"/>
    <col min="2" max="2" width="61.140625" style="0" customWidth="1"/>
    <col min="3" max="3" width="7.7109375" style="0" customWidth="1"/>
    <col min="4" max="4" width="14.00390625" style="0" bestFit="1" customWidth="1"/>
    <col min="5" max="5" width="13.28125" style="0" customWidth="1"/>
  </cols>
  <sheetData>
    <row r="3" spans="2:5" ht="15.75">
      <c r="B3" s="16" t="s">
        <v>657</v>
      </c>
      <c r="C3" s="9"/>
      <c r="D3" s="10"/>
      <c r="E3" s="11" t="s">
        <v>526</v>
      </c>
    </row>
    <row r="4" spans="2:5" ht="15.75">
      <c r="B4" s="16" t="s">
        <v>517</v>
      </c>
      <c r="C4" s="9"/>
      <c r="D4" s="10"/>
      <c r="E4" s="31" t="s">
        <v>867</v>
      </c>
    </row>
    <row r="5" spans="2:5" ht="15.75">
      <c r="B5" s="16" t="s">
        <v>1009</v>
      </c>
      <c r="C5" s="9"/>
      <c r="D5" s="10"/>
      <c r="E5" s="31" t="s">
        <v>868</v>
      </c>
    </row>
    <row r="8" spans="2:5" s="3" customFormat="1" ht="20.25">
      <c r="B8" s="246" t="s">
        <v>310</v>
      </c>
      <c r="C8" s="246"/>
      <c r="D8" s="246"/>
      <c r="E8" s="246"/>
    </row>
    <row r="9" spans="2:5" s="3" customFormat="1" ht="12.75">
      <c r="B9" s="247" t="s">
        <v>311</v>
      </c>
      <c r="C9" s="247"/>
      <c r="D9" s="247"/>
      <c r="E9" s="247"/>
    </row>
    <row r="10" spans="2:5" s="3" customFormat="1" ht="21.75" customHeight="1">
      <c r="B10" s="134" t="s">
        <v>869</v>
      </c>
      <c r="C10" s="134" t="s">
        <v>1075</v>
      </c>
      <c r="D10" s="134" t="s">
        <v>1073</v>
      </c>
      <c r="E10" s="134" t="s">
        <v>1074</v>
      </c>
    </row>
    <row r="11" spans="2:5" ht="18" customHeight="1">
      <c r="B11" s="135" t="s">
        <v>312</v>
      </c>
      <c r="C11" s="12" t="s">
        <v>308</v>
      </c>
      <c r="D11" s="13"/>
      <c r="E11" s="13"/>
    </row>
    <row r="12" spans="2:5" ht="18" customHeight="1">
      <c r="B12" s="136" t="s">
        <v>313</v>
      </c>
      <c r="C12" s="12" t="s">
        <v>314</v>
      </c>
      <c r="D12" s="137">
        <f>DSUM('CHUNG TU'!$I$4:$L$331,4,'Vung DK'!A3:C10)</f>
        <v>220500000</v>
      </c>
      <c r="E12" s="137"/>
    </row>
    <row r="13" spans="2:5" s="104" customFormat="1" ht="18" customHeight="1">
      <c r="B13" s="196" t="s">
        <v>315</v>
      </c>
      <c r="C13" s="197" t="s">
        <v>316</v>
      </c>
      <c r="D13" s="137">
        <f>-DSUM('CHUNG TU'!$I$4:$L$331,4,'Vung DK'!A11:C31)</f>
        <v>-510095400</v>
      </c>
      <c r="E13" s="198"/>
    </row>
    <row r="14" spans="2:5" s="104" customFormat="1" ht="18" customHeight="1">
      <c r="B14" s="196" t="s">
        <v>317</v>
      </c>
      <c r="C14" s="197" t="s">
        <v>318</v>
      </c>
      <c r="D14" s="137">
        <f>-DSUM('CHUNG TU'!$I$4:$L$331,4,'Vung DK'!A32:C36)</f>
        <v>-81120000</v>
      </c>
      <c r="E14" s="198"/>
    </row>
    <row r="15" spans="2:5" s="104" customFormat="1" ht="18" customHeight="1">
      <c r="B15" s="196" t="s">
        <v>319</v>
      </c>
      <c r="C15" s="197" t="s">
        <v>320</v>
      </c>
      <c r="D15" s="137">
        <f>-DSUM('CHUNG TU'!$I$4:$L$331,4,'Vung DK'!A37:C39)</f>
        <v>-1400000</v>
      </c>
      <c r="E15" s="198"/>
    </row>
    <row r="16" spans="2:5" s="104" customFormat="1" ht="18" customHeight="1">
      <c r="B16" s="196" t="s">
        <v>321</v>
      </c>
      <c r="C16" s="197" t="s">
        <v>322</v>
      </c>
      <c r="D16" s="137">
        <f>-DSUM('CHUNG TU'!$I$4:$L$331,4,'Vung DK'!A40:C42)</f>
        <v>-1200000</v>
      </c>
      <c r="E16" s="198"/>
    </row>
    <row r="17" spans="2:5" ht="18" customHeight="1">
      <c r="B17" s="136" t="s">
        <v>323</v>
      </c>
      <c r="C17" s="12" t="s">
        <v>324</v>
      </c>
      <c r="D17" s="137">
        <f>DSUM('CHUNG TU'!$I$4:$L$331,4,'Vung DK'!A43:C52)</f>
        <v>4730000</v>
      </c>
      <c r="E17" s="137"/>
    </row>
    <row r="18" spans="2:5" s="104" customFormat="1" ht="18" customHeight="1">
      <c r="B18" s="196" t="s">
        <v>325</v>
      </c>
      <c r="C18" s="197" t="s">
        <v>326</v>
      </c>
      <c r="D18" s="137">
        <f>-DSUM('CHUNG TU'!$I$4:$L$331,4,'Vung DK'!E3:G20)</f>
        <v>-8650000</v>
      </c>
      <c r="E18" s="198"/>
    </row>
    <row r="19" spans="2:5" ht="18" customHeight="1">
      <c r="B19" s="135" t="s">
        <v>327</v>
      </c>
      <c r="C19" s="14" t="s">
        <v>296</v>
      </c>
      <c r="D19" s="199">
        <f>SUBTOTAL(9,D12:D18)</f>
        <v>-377235400</v>
      </c>
      <c r="E19" s="137"/>
    </row>
    <row r="20" spans="2:5" ht="18" customHeight="1">
      <c r="B20" s="135" t="s">
        <v>328</v>
      </c>
      <c r="C20" s="12" t="s">
        <v>308</v>
      </c>
      <c r="D20" s="137"/>
      <c r="E20" s="137"/>
    </row>
    <row r="21" spans="2:5" s="104" customFormat="1" ht="18" customHeight="1">
      <c r="B21" s="196" t="s">
        <v>329</v>
      </c>
      <c r="C21" s="197" t="s">
        <v>297</v>
      </c>
      <c r="D21" s="137">
        <f>-DSUM('CHUNG TU'!$I$4:$L$331,4,'Vung DK'!E23:G32)</f>
        <v>-78500000</v>
      </c>
      <c r="E21" s="198"/>
    </row>
    <row r="22" spans="2:5" ht="18" customHeight="1">
      <c r="B22" s="136" t="s">
        <v>330</v>
      </c>
      <c r="C22" s="12" t="s">
        <v>298</v>
      </c>
      <c r="D22" s="137">
        <f>DSUM('CHUNG TU'!$I$4:$L$331,4,'Vung DK'!I3:K9)</f>
        <v>12000000</v>
      </c>
      <c r="E22" s="137"/>
    </row>
    <row r="23" spans="2:5" s="104" customFormat="1" ht="18" customHeight="1">
      <c r="B23" s="196" t="s">
        <v>331</v>
      </c>
      <c r="C23" s="197" t="s">
        <v>299</v>
      </c>
      <c r="D23" s="137">
        <f>-DSUM('CHUNG TU'!$I$4:$L$331,4,'Vung DK'!I10:K15)</f>
        <v>-10750000</v>
      </c>
      <c r="E23" s="198"/>
    </row>
    <row r="24" spans="2:5" ht="18" customHeight="1">
      <c r="B24" s="136" t="s">
        <v>332</v>
      </c>
      <c r="C24" s="12" t="s">
        <v>300</v>
      </c>
      <c r="D24" s="137">
        <f>DSUM('CHUNG TU'!$I$4:$L$331,4,'Vung DK'!I16:K19)</f>
        <v>0</v>
      </c>
      <c r="E24" s="137"/>
    </row>
    <row r="25" spans="2:5" s="104" customFormat="1" ht="18" customHeight="1">
      <c r="B25" s="196" t="s">
        <v>333</v>
      </c>
      <c r="C25" s="197" t="s">
        <v>301</v>
      </c>
      <c r="D25" s="137">
        <f>-DSUM('CHUNG TU'!$I$4:$L$331,4,'Vung DK'!I20:K22)</f>
        <v>0</v>
      </c>
      <c r="E25" s="198"/>
    </row>
    <row r="26" spans="2:5" ht="18" customHeight="1">
      <c r="B26" s="136" t="s">
        <v>334</v>
      </c>
      <c r="C26" s="12" t="s">
        <v>335</v>
      </c>
      <c r="D26" s="137">
        <f>DSUM('CHUNG TU'!$I$4:$L$331,4,'Vung DK'!I23:K25)</f>
        <v>0</v>
      </c>
      <c r="E26" s="137"/>
    </row>
    <row r="27" spans="2:5" ht="18" customHeight="1">
      <c r="B27" s="136" t="s">
        <v>336</v>
      </c>
      <c r="C27" s="12" t="s">
        <v>337</v>
      </c>
      <c r="D27" s="137">
        <f>DSUM('CHUNG TU'!$I$4:$L$331,4,'Vung DK'!I26:K27)</f>
        <v>1350000</v>
      </c>
      <c r="E27" s="137"/>
    </row>
    <row r="28" spans="2:5" ht="18" customHeight="1">
      <c r="B28" s="135" t="s">
        <v>338</v>
      </c>
      <c r="C28" s="14" t="s">
        <v>302</v>
      </c>
      <c r="D28" s="199">
        <f>SUBTOTAL(9,D21:D27)</f>
        <v>-75900000</v>
      </c>
      <c r="E28" s="137"/>
    </row>
    <row r="29" spans="2:5" ht="18" customHeight="1">
      <c r="B29" s="135" t="s">
        <v>339</v>
      </c>
      <c r="C29" s="12" t="s">
        <v>308</v>
      </c>
      <c r="D29" s="137"/>
      <c r="E29" s="137"/>
    </row>
    <row r="30" spans="2:5" ht="18" customHeight="1">
      <c r="B30" s="136" t="s">
        <v>340</v>
      </c>
      <c r="C30" s="12" t="s">
        <v>303</v>
      </c>
      <c r="D30" s="137">
        <f>DSUM('CHUNG TU'!$I$4:$L$331,4,'Vung DK'!I28:K29)</f>
        <v>0</v>
      </c>
      <c r="E30" s="137"/>
    </row>
    <row r="31" spans="2:5" s="104" customFormat="1" ht="17.25" customHeight="1">
      <c r="B31" s="196" t="s">
        <v>341</v>
      </c>
      <c r="C31" s="197" t="s">
        <v>304</v>
      </c>
      <c r="D31" s="137">
        <f>-DSUM('CHUNG TU'!$I$4:$L$331,4,'Vung DK'!I30:K31)</f>
        <v>0</v>
      </c>
      <c r="E31" s="198"/>
    </row>
    <row r="32" spans="2:5" ht="18" customHeight="1">
      <c r="B32" s="136" t="s">
        <v>342</v>
      </c>
      <c r="C32" s="12" t="s">
        <v>309</v>
      </c>
      <c r="D32" s="137">
        <f>DSUM('CHUNG TU'!$I$4:$L$331,4,'Vung DK'!I32:K33)</f>
        <v>100000000</v>
      </c>
      <c r="E32" s="137"/>
    </row>
    <row r="33" spans="2:5" s="104" customFormat="1" ht="18" customHeight="1">
      <c r="B33" s="196" t="s">
        <v>343</v>
      </c>
      <c r="C33" s="197" t="s">
        <v>344</v>
      </c>
      <c r="D33" s="137">
        <f>-DSUM('CHUNG TU'!$I$4:$L$331,4,'Vung DK'!I34:K35)</f>
        <v>-150000000</v>
      </c>
      <c r="E33" s="198"/>
    </row>
    <row r="34" spans="2:5" s="104" customFormat="1" ht="18" customHeight="1">
      <c r="B34" s="196" t="s">
        <v>345</v>
      </c>
      <c r="C34" s="197" t="s">
        <v>346</v>
      </c>
      <c r="D34" s="137">
        <f>-DSUM('CHUNG TU'!$I$4:$L$331,4,'Vung DK'!I36:K37)</f>
        <v>0</v>
      </c>
      <c r="E34" s="198"/>
    </row>
    <row r="35" spans="2:5" ht="18" customHeight="1">
      <c r="B35" s="136" t="s">
        <v>347</v>
      </c>
      <c r="C35" s="12" t="s">
        <v>348</v>
      </c>
      <c r="D35" s="137">
        <f>DSUM('CHUNG TU'!$I$4:$L$331,4,'Vung DK'!I38:K39)</f>
        <v>0</v>
      </c>
      <c r="E35" s="137"/>
    </row>
    <row r="36" spans="2:5" ht="18" customHeight="1">
      <c r="B36" s="135" t="s">
        <v>349</v>
      </c>
      <c r="C36" s="14" t="s">
        <v>305</v>
      </c>
      <c r="D36" s="199">
        <f>SUBTOTAL(9,D30:D35)</f>
        <v>-50000000</v>
      </c>
      <c r="E36" s="137"/>
    </row>
    <row r="37" spans="2:5" ht="18" customHeight="1">
      <c r="B37" s="135" t="s">
        <v>350</v>
      </c>
      <c r="C37" s="14" t="s">
        <v>306</v>
      </c>
      <c r="D37" s="199">
        <f>SUBTOTAL(9,D11:D36)</f>
        <v>-503135400</v>
      </c>
      <c r="E37" s="137"/>
    </row>
    <row r="38" spans="2:5" ht="18" customHeight="1">
      <c r="B38" s="135" t="s">
        <v>351</v>
      </c>
      <c r="C38" s="14" t="s">
        <v>307</v>
      </c>
      <c r="D38" s="137">
        <f>SUM(SDDK!H6:H12)</f>
        <v>1128900000</v>
      </c>
      <c r="E38" s="137"/>
    </row>
    <row r="39" spans="2:5" ht="18" customHeight="1">
      <c r="B39" s="135" t="s">
        <v>352</v>
      </c>
      <c r="C39" s="14" t="s">
        <v>353</v>
      </c>
      <c r="D39" s="137">
        <f>DSUM('CHUNG TU'!$I$4:$L$331,4,'Vung DK'!E33:G34)-DSUM('CHUNG TU'!$I$4:$L$331,4,'Vung DK'!E35:G36)</f>
        <v>0</v>
      </c>
      <c r="E39" s="137"/>
    </row>
    <row r="40" spans="2:5" ht="18" customHeight="1">
      <c r="B40" s="135" t="s">
        <v>354</v>
      </c>
      <c r="C40" s="14" t="s">
        <v>355</v>
      </c>
      <c r="D40" s="200">
        <f>SUM(D37:D39)</f>
        <v>625764600</v>
      </c>
      <c r="E40" s="137"/>
    </row>
    <row r="41" spans="3:4" ht="15.75">
      <c r="C41" s="16"/>
      <c r="D41" s="16"/>
    </row>
    <row r="42" spans="2:10" ht="15.75">
      <c r="B42" s="16"/>
      <c r="D42" s="19"/>
      <c r="E42" s="18" t="s">
        <v>521</v>
      </c>
      <c r="H42" s="18"/>
      <c r="I42" s="18"/>
      <c r="J42" s="18"/>
    </row>
    <row r="43" spans="2:10" ht="15.75">
      <c r="B43" s="18" t="s">
        <v>513</v>
      </c>
      <c r="C43" s="19" t="s">
        <v>514</v>
      </c>
      <c r="D43" s="19"/>
      <c r="E43" s="18" t="s">
        <v>515</v>
      </c>
      <c r="H43" s="18"/>
      <c r="I43" s="18"/>
      <c r="J43" s="18"/>
    </row>
    <row r="44" spans="2:10" ht="15.75">
      <c r="B44" s="18" t="s">
        <v>520</v>
      </c>
      <c r="C44" s="19" t="s">
        <v>516</v>
      </c>
      <c r="D44" s="19"/>
      <c r="E44" s="18" t="s">
        <v>522</v>
      </c>
      <c r="H44" s="18"/>
      <c r="I44" s="18"/>
      <c r="J44" s="18"/>
    </row>
    <row r="45" spans="2:10" ht="15.75">
      <c r="B45" s="16"/>
      <c r="C45" s="16"/>
      <c r="D45" s="16"/>
      <c r="E45" s="16"/>
      <c r="F45" s="16"/>
      <c r="G45" s="18"/>
      <c r="H45" s="18"/>
      <c r="I45" s="18"/>
      <c r="J45" s="18"/>
    </row>
  </sheetData>
  <sheetProtection/>
  <mergeCells count="2">
    <mergeCell ref="B8:E8"/>
    <mergeCell ref="B9:E9"/>
  </mergeCells>
  <printOptions/>
  <pageMargins left="0.75" right="0.75" top="1" bottom="1" header="0.5" footer="0.5"/>
  <pageSetup horizontalDpi="1200" verticalDpi="1200" orientation="portrait" r:id="rId1"/>
  <ignoredErrors>
    <ignoredError sqref="C12:C40" numberStoredAsText="1"/>
  </ignoredErrors>
</worksheet>
</file>

<file path=xl/worksheets/sheet9.xml><?xml version="1.0" encoding="utf-8"?>
<worksheet xmlns="http://schemas.openxmlformats.org/spreadsheetml/2006/main" xmlns:r="http://schemas.openxmlformats.org/officeDocument/2006/relationships">
  <sheetPr>
    <tabColor theme="7" tint="-0.4999699890613556"/>
  </sheetPr>
  <dimension ref="A1:K52"/>
  <sheetViews>
    <sheetView zoomScalePageLayoutView="0" workbookViewId="0" topLeftCell="A29">
      <selection activeCell="P14" sqref="P14"/>
    </sheetView>
  </sheetViews>
  <sheetFormatPr defaultColWidth="9.140625" defaultRowHeight="12.75"/>
  <cols>
    <col min="1" max="16384" width="9.140625" style="50" customWidth="1"/>
  </cols>
  <sheetData>
    <row r="1" spans="1:8" ht="15.75">
      <c r="A1" s="47"/>
      <c r="B1" s="47"/>
      <c r="C1" s="47"/>
      <c r="D1" s="48" t="s">
        <v>926</v>
      </c>
      <c r="E1" s="48"/>
      <c r="F1" s="48"/>
      <c r="G1" s="48"/>
      <c r="H1" s="49"/>
    </row>
    <row r="3" spans="1:11" ht="25.5">
      <c r="A3" s="51" t="s">
        <v>927</v>
      </c>
      <c r="B3" s="52" t="s">
        <v>109</v>
      </c>
      <c r="C3" s="52" t="s">
        <v>110</v>
      </c>
      <c r="E3" s="51" t="s">
        <v>928</v>
      </c>
      <c r="F3" s="52" t="s">
        <v>109</v>
      </c>
      <c r="G3" s="52" t="s">
        <v>110</v>
      </c>
      <c r="I3" s="51" t="s">
        <v>929</v>
      </c>
      <c r="J3" s="52" t="s">
        <v>109</v>
      </c>
      <c r="K3" s="52" t="s">
        <v>110</v>
      </c>
    </row>
    <row r="4" spans="1:11" ht="12.75">
      <c r="A4" s="5"/>
      <c r="B4" s="5" t="s">
        <v>930</v>
      </c>
      <c r="C4" s="5" t="s">
        <v>931</v>
      </c>
      <c r="D4" s="53"/>
      <c r="E4" s="5"/>
      <c r="F4" s="5" t="s">
        <v>932</v>
      </c>
      <c r="G4" s="5" t="s">
        <v>930</v>
      </c>
      <c r="H4" s="53"/>
      <c r="I4" s="5"/>
      <c r="J4" s="5" t="s">
        <v>930</v>
      </c>
      <c r="K4" s="5" t="s">
        <v>933</v>
      </c>
    </row>
    <row r="5" spans="1:11" ht="12.75">
      <c r="A5" s="5"/>
      <c r="B5" s="5" t="s">
        <v>934</v>
      </c>
      <c r="C5" s="5" t="s">
        <v>935</v>
      </c>
      <c r="D5" s="53"/>
      <c r="E5" s="5"/>
      <c r="F5" s="5" t="s">
        <v>932</v>
      </c>
      <c r="G5" s="5" t="s">
        <v>934</v>
      </c>
      <c r="H5" s="53"/>
      <c r="I5" s="5"/>
      <c r="J5" s="5" t="s">
        <v>934</v>
      </c>
      <c r="K5" s="5" t="s">
        <v>933</v>
      </c>
    </row>
    <row r="6" spans="1:11" ht="12.75">
      <c r="A6" s="5"/>
      <c r="B6" s="5" t="s">
        <v>930</v>
      </c>
      <c r="C6" s="5" t="s">
        <v>936</v>
      </c>
      <c r="D6" s="53"/>
      <c r="E6" s="5"/>
      <c r="F6" s="5" t="s">
        <v>937</v>
      </c>
      <c r="G6" s="5" t="s">
        <v>930</v>
      </c>
      <c r="H6" s="53"/>
      <c r="I6" s="5"/>
      <c r="J6" s="5" t="s">
        <v>930</v>
      </c>
      <c r="K6" s="5" t="s">
        <v>938</v>
      </c>
    </row>
    <row r="7" spans="1:11" ht="12.75">
      <c r="A7" s="5"/>
      <c r="B7" s="5" t="s">
        <v>934</v>
      </c>
      <c r="C7" s="5" t="s">
        <v>936</v>
      </c>
      <c r="D7" s="53"/>
      <c r="E7" s="5"/>
      <c r="F7" s="5" t="s">
        <v>937</v>
      </c>
      <c r="G7" s="5" t="s">
        <v>934</v>
      </c>
      <c r="H7" s="53"/>
      <c r="I7" s="5"/>
      <c r="J7" s="5" t="s">
        <v>934</v>
      </c>
      <c r="K7" s="5" t="s">
        <v>938</v>
      </c>
    </row>
    <row r="8" spans="1:11" ht="12.75">
      <c r="A8" s="5"/>
      <c r="B8" s="5" t="s">
        <v>930</v>
      </c>
      <c r="C8" s="5" t="s">
        <v>939</v>
      </c>
      <c r="D8" s="53"/>
      <c r="E8" s="5"/>
      <c r="F8" s="5" t="s">
        <v>940</v>
      </c>
      <c r="G8" s="5" t="s">
        <v>930</v>
      </c>
      <c r="H8" s="53"/>
      <c r="I8" s="5"/>
      <c r="J8" s="5" t="s">
        <v>930</v>
      </c>
      <c r="K8" s="5" t="s">
        <v>941</v>
      </c>
    </row>
    <row r="9" spans="1:11" ht="12.75">
      <c r="A9" s="5"/>
      <c r="B9" s="5" t="s">
        <v>934</v>
      </c>
      <c r="C9" s="5" t="s">
        <v>939</v>
      </c>
      <c r="D9" s="53"/>
      <c r="E9" s="5"/>
      <c r="F9" s="5" t="s">
        <v>940</v>
      </c>
      <c r="G9" s="5" t="s">
        <v>934</v>
      </c>
      <c r="H9" s="53"/>
      <c r="I9" s="5"/>
      <c r="J9" s="5" t="s">
        <v>934</v>
      </c>
      <c r="K9" s="5" t="s">
        <v>941</v>
      </c>
    </row>
    <row r="10" spans="1:11" ht="25.5">
      <c r="A10" s="5"/>
      <c r="B10" s="5" t="s">
        <v>934</v>
      </c>
      <c r="C10" s="5" t="s">
        <v>942</v>
      </c>
      <c r="D10" s="53"/>
      <c r="E10" s="5"/>
      <c r="F10" s="5" t="s">
        <v>943</v>
      </c>
      <c r="G10" s="5" t="s">
        <v>944</v>
      </c>
      <c r="H10" s="53"/>
      <c r="I10" s="51" t="s">
        <v>945</v>
      </c>
      <c r="J10" s="52" t="s">
        <v>109</v>
      </c>
      <c r="K10" s="52" t="s">
        <v>110</v>
      </c>
    </row>
    <row r="11" spans="1:11" ht="25.5">
      <c r="A11" s="51" t="s">
        <v>946</v>
      </c>
      <c r="B11" s="52" t="s">
        <v>109</v>
      </c>
      <c r="C11" s="52" t="s">
        <v>110</v>
      </c>
      <c r="D11" s="53"/>
      <c r="E11" s="5"/>
      <c r="F11" s="5" t="s">
        <v>947</v>
      </c>
      <c r="G11" s="5" t="s">
        <v>944</v>
      </c>
      <c r="H11" s="53"/>
      <c r="I11" s="5"/>
      <c r="J11" s="5" t="s">
        <v>948</v>
      </c>
      <c r="K11" s="5" t="s">
        <v>930</v>
      </c>
    </row>
    <row r="12" spans="1:11" ht="12.75">
      <c r="A12" s="5"/>
      <c r="B12" s="5" t="s">
        <v>949</v>
      </c>
      <c r="C12" s="5" t="s">
        <v>930</v>
      </c>
      <c r="D12" s="53"/>
      <c r="E12" s="5"/>
      <c r="F12" s="5" t="s">
        <v>950</v>
      </c>
      <c r="G12" s="5" t="s">
        <v>944</v>
      </c>
      <c r="H12" s="53"/>
      <c r="I12" s="5"/>
      <c r="J12" s="5" t="s">
        <v>948</v>
      </c>
      <c r="K12" s="5" t="s">
        <v>934</v>
      </c>
    </row>
    <row r="13" spans="1:11" ht="12.75">
      <c r="A13" s="5"/>
      <c r="B13" s="5" t="s">
        <v>949</v>
      </c>
      <c r="C13" s="5" t="s">
        <v>934</v>
      </c>
      <c r="D13" s="53"/>
      <c r="E13" s="5"/>
      <c r="F13" s="5" t="s">
        <v>951</v>
      </c>
      <c r="G13" s="5" t="s">
        <v>944</v>
      </c>
      <c r="H13" s="53"/>
      <c r="I13" s="5"/>
      <c r="J13" s="54" t="s">
        <v>952</v>
      </c>
      <c r="K13" s="5" t="s">
        <v>944</v>
      </c>
    </row>
    <row r="14" spans="1:11" ht="12.75">
      <c r="A14" s="5"/>
      <c r="B14" s="5" t="s">
        <v>953</v>
      </c>
      <c r="C14" s="5" t="s">
        <v>930</v>
      </c>
      <c r="D14" s="53"/>
      <c r="E14" s="5"/>
      <c r="F14" s="5" t="s">
        <v>954</v>
      </c>
      <c r="G14" s="5" t="s">
        <v>944</v>
      </c>
      <c r="H14" s="53"/>
      <c r="I14" s="5"/>
      <c r="J14" s="5" t="s">
        <v>955</v>
      </c>
      <c r="K14" s="5" t="s">
        <v>930</v>
      </c>
    </row>
    <row r="15" spans="1:11" ht="12.75">
      <c r="A15" s="5"/>
      <c r="B15" s="5" t="s">
        <v>953</v>
      </c>
      <c r="C15" s="5" t="s">
        <v>934</v>
      </c>
      <c r="D15" s="53"/>
      <c r="E15" s="5"/>
      <c r="F15" s="5" t="s">
        <v>956</v>
      </c>
      <c r="G15" s="5" t="s">
        <v>944</v>
      </c>
      <c r="H15" s="53"/>
      <c r="I15" s="5"/>
      <c r="J15" s="5" t="s">
        <v>955</v>
      </c>
      <c r="K15" s="5" t="s">
        <v>934</v>
      </c>
    </row>
    <row r="16" spans="1:11" ht="25.5">
      <c r="A16" s="5"/>
      <c r="B16" s="5" t="s">
        <v>957</v>
      </c>
      <c r="C16" s="5" t="s">
        <v>930</v>
      </c>
      <c r="D16" s="53"/>
      <c r="E16" s="5"/>
      <c r="F16" s="5" t="s">
        <v>958</v>
      </c>
      <c r="G16" s="5" t="s">
        <v>944</v>
      </c>
      <c r="H16" s="53"/>
      <c r="I16" s="51" t="s">
        <v>959</v>
      </c>
      <c r="J16" s="52" t="s">
        <v>109</v>
      </c>
      <c r="K16" s="52" t="s">
        <v>110</v>
      </c>
    </row>
    <row r="17" spans="1:11" ht="12.75">
      <c r="A17" s="5"/>
      <c r="B17" s="5" t="s">
        <v>957</v>
      </c>
      <c r="C17" s="5" t="s">
        <v>934</v>
      </c>
      <c r="D17" s="53"/>
      <c r="E17" s="5"/>
      <c r="F17" s="5" t="s">
        <v>960</v>
      </c>
      <c r="G17" s="5" t="s">
        <v>944</v>
      </c>
      <c r="H17" s="53"/>
      <c r="I17" s="5"/>
      <c r="J17" s="5" t="s">
        <v>930</v>
      </c>
      <c r="K17" s="5" t="s">
        <v>948</v>
      </c>
    </row>
    <row r="18" spans="1:11" ht="12.75">
      <c r="A18" s="5"/>
      <c r="B18" s="5" t="s">
        <v>961</v>
      </c>
      <c r="C18" s="5" t="s">
        <v>930</v>
      </c>
      <c r="D18" s="53"/>
      <c r="E18" s="5"/>
      <c r="F18" s="5" t="s">
        <v>936</v>
      </c>
      <c r="G18" s="5" t="s">
        <v>944</v>
      </c>
      <c r="H18" s="53"/>
      <c r="I18" s="5"/>
      <c r="J18" s="5" t="s">
        <v>934</v>
      </c>
      <c r="K18" s="5" t="s">
        <v>948</v>
      </c>
    </row>
    <row r="19" spans="1:11" ht="12.75">
      <c r="A19" s="5"/>
      <c r="B19" s="5" t="s">
        <v>961</v>
      </c>
      <c r="C19" s="5" t="s">
        <v>934</v>
      </c>
      <c r="D19" s="53"/>
      <c r="E19" s="5"/>
      <c r="F19" s="5" t="s">
        <v>939</v>
      </c>
      <c r="G19" s="5" t="s">
        <v>944</v>
      </c>
      <c r="H19" s="53"/>
      <c r="I19" s="5"/>
      <c r="J19" s="5" t="s">
        <v>944</v>
      </c>
      <c r="K19" s="5" t="s">
        <v>962</v>
      </c>
    </row>
    <row r="20" spans="1:11" ht="25.5">
      <c r="A20" s="5"/>
      <c r="B20" s="5" t="s">
        <v>963</v>
      </c>
      <c r="C20" s="5" t="s">
        <v>930</v>
      </c>
      <c r="D20" s="53"/>
      <c r="E20" s="5"/>
      <c r="F20" s="5" t="s">
        <v>964</v>
      </c>
      <c r="G20" s="5" t="s">
        <v>944</v>
      </c>
      <c r="H20" s="53"/>
      <c r="I20" s="51" t="s">
        <v>965</v>
      </c>
      <c r="J20" s="52" t="s">
        <v>109</v>
      </c>
      <c r="K20" s="52" t="s">
        <v>110</v>
      </c>
    </row>
    <row r="21" spans="1:11" ht="12.75">
      <c r="A21" s="5"/>
      <c r="B21" s="5" t="s">
        <v>963</v>
      </c>
      <c r="C21" s="5" t="s">
        <v>934</v>
      </c>
      <c r="D21" s="53"/>
      <c r="E21" s="5"/>
      <c r="H21" s="53"/>
      <c r="I21" s="5"/>
      <c r="J21" s="5" t="s">
        <v>938</v>
      </c>
      <c r="K21" s="5" t="s">
        <v>930</v>
      </c>
    </row>
    <row r="22" spans="1:11" ht="12.75">
      <c r="A22" s="5"/>
      <c r="B22" s="5" t="s">
        <v>966</v>
      </c>
      <c r="C22" s="5" t="s">
        <v>944</v>
      </c>
      <c r="D22" s="53"/>
      <c r="E22" s="5"/>
      <c r="H22" s="53"/>
      <c r="I22" s="5"/>
      <c r="J22" s="5" t="s">
        <v>938</v>
      </c>
      <c r="K22" s="5" t="s">
        <v>934</v>
      </c>
    </row>
    <row r="23" spans="1:11" ht="25.5">
      <c r="A23" s="5"/>
      <c r="B23" s="5" t="s">
        <v>967</v>
      </c>
      <c r="C23" s="5" t="s">
        <v>930</v>
      </c>
      <c r="D23" s="53"/>
      <c r="E23" s="51" t="s">
        <v>968</v>
      </c>
      <c r="F23" s="52" t="s">
        <v>109</v>
      </c>
      <c r="G23" s="52" t="s">
        <v>110</v>
      </c>
      <c r="H23" s="53"/>
      <c r="I23" s="51" t="s">
        <v>969</v>
      </c>
      <c r="J23" s="52" t="s">
        <v>109</v>
      </c>
      <c r="K23" s="52" t="s">
        <v>110</v>
      </c>
    </row>
    <row r="24" spans="1:11" ht="12.75">
      <c r="A24" s="5"/>
      <c r="B24" s="5" t="s">
        <v>967</v>
      </c>
      <c r="C24" s="5" t="s">
        <v>934</v>
      </c>
      <c r="D24" s="53"/>
      <c r="E24" s="5"/>
      <c r="F24" s="5" t="s">
        <v>970</v>
      </c>
      <c r="G24" s="5" t="s">
        <v>930</v>
      </c>
      <c r="H24" s="53"/>
      <c r="I24" s="5"/>
      <c r="J24" s="5" t="s">
        <v>930</v>
      </c>
      <c r="K24" s="5" t="s">
        <v>938</v>
      </c>
    </row>
    <row r="25" spans="1:11" ht="12.75">
      <c r="A25" s="5"/>
      <c r="B25" s="5" t="s">
        <v>971</v>
      </c>
      <c r="C25" s="5" t="s">
        <v>930</v>
      </c>
      <c r="D25" s="53"/>
      <c r="E25" s="5"/>
      <c r="F25" s="5" t="s">
        <v>970</v>
      </c>
      <c r="G25" s="5" t="s">
        <v>934</v>
      </c>
      <c r="H25" s="53"/>
      <c r="I25" s="5"/>
      <c r="J25" s="5" t="s">
        <v>934</v>
      </c>
      <c r="K25" s="5" t="s">
        <v>938</v>
      </c>
    </row>
    <row r="26" spans="1:11" ht="25.5">
      <c r="A26" s="5"/>
      <c r="B26" s="5" t="s">
        <v>971</v>
      </c>
      <c r="C26" s="5" t="s">
        <v>934</v>
      </c>
      <c r="D26" s="53"/>
      <c r="E26" s="5"/>
      <c r="F26" s="5" t="s">
        <v>972</v>
      </c>
      <c r="G26" s="5" t="s">
        <v>930</v>
      </c>
      <c r="H26" s="53"/>
      <c r="I26" s="51" t="s">
        <v>973</v>
      </c>
      <c r="J26" s="52" t="s">
        <v>109</v>
      </c>
      <c r="K26" s="52" t="s">
        <v>110</v>
      </c>
    </row>
    <row r="27" spans="1:11" ht="12.75">
      <c r="A27" s="5"/>
      <c r="B27" s="5" t="s">
        <v>974</v>
      </c>
      <c r="C27" s="5" t="s">
        <v>930</v>
      </c>
      <c r="D27" s="53"/>
      <c r="E27" s="5"/>
      <c r="F27" s="5" t="s">
        <v>972</v>
      </c>
      <c r="G27" s="5" t="s">
        <v>934</v>
      </c>
      <c r="H27" s="53"/>
      <c r="I27" s="5"/>
      <c r="J27" s="5" t="s">
        <v>944</v>
      </c>
      <c r="K27" s="5" t="s">
        <v>975</v>
      </c>
    </row>
    <row r="28" spans="1:11" ht="25.5">
      <c r="A28" s="5"/>
      <c r="B28" s="5" t="s">
        <v>974</v>
      </c>
      <c r="C28" s="5" t="s">
        <v>934</v>
      </c>
      <c r="D28" s="53"/>
      <c r="E28" s="5"/>
      <c r="F28" s="5" t="s">
        <v>976</v>
      </c>
      <c r="G28" s="5" t="s">
        <v>930</v>
      </c>
      <c r="H28" s="53"/>
      <c r="I28" s="51" t="s">
        <v>977</v>
      </c>
      <c r="J28" s="52" t="s">
        <v>109</v>
      </c>
      <c r="K28" s="52" t="s">
        <v>110</v>
      </c>
    </row>
    <row r="29" spans="1:11" ht="12.75">
      <c r="A29" s="5"/>
      <c r="B29" s="5" t="s">
        <v>978</v>
      </c>
      <c r="C29" s="5" t="s">
        <v>944</v>
      </c>
      <c r="D29" s="53"/>
      <c r="E29" s="5"/>
      <c r="F29" s="5" t="s">
        <v>979</v>
      </c>
      <c r="G29" s="5" t="s">
        <v>934</v>
      </c>
      <c r="H29" s="53"/>
      <c r="I29" s="5"/>
      <c r="J29" s="5" t="s">
        <v>944</v>
      </c>
      <c r="K29" s="5" t="s">
        <v>980</v>
      </c>
    </row>
    <row r="30" spans="1:11" ht="25.5">
      <c r="A30" s="5"/>
      <c r="B30" s="5" t="s">
        <v>981</v>
      </c>
      <c r="C30" s="5" t="s">
        <v>930</v>
      </c>
      <c r="D30" s="53"/>
      <c r="E30" s="5"/>
      <c r="F30" s="5" t="s">
        <v>933</v>
      </c>
      <c r="G30" s="5" t="s">
        <v>930</v>
      </c>
      <c r="H30" s="53"/>
      <c r="I30" s="51" t="s">
        <v>982</v>
      </c>
      <c r="J30" s="52" t="s">
        <v>109</v>
      </c>
      <c r="K30" s="52" t="s">
        <v>110</v>
      </c>
    </row>
    <row r="31" spans="1:11" ht="12.75">
      <c r="A31" s="5"/>
      <c r="B31" s="5" t="s">
        <v>981</v>
      </c>
      <c r="C31" s="5" t="s">
        <v>934</v>
      </c>
      <c r="D31" s="53"/>
      <c r="E31" s="5"/>
      <c r="F31" s="5" t="s">
        <v>933</v>
      </c>
      <c r="G31" s="5" t="s">
        <v>934</v>
      </c>
      <c r="H31" s="53"/>
      <c r="I31" s="5"/>
      <c r="J31" s="5" t="s">
        <v>980</v>
      </c>
      <c r="K31" s="5" t="s">
        <v>944</v>
      </c>
    </row>
    <row r="32" spans="1:11" ht="25.5">
      <c r="A32" s="51" t="s">
        <v>983</v>
      </c>
      <c r="B32" s="52" t="s">
        <v>109</v>
      </c>
      <c r="C32" s="52" t="s">
        <v>110</v>
      </c>
      <c r="D32" s="53"/>
      <c r="E32" s="5"/>
      <c r="F32" s="5" t="s">
        <v>984</v>
      </c>
      <c r="G32" s="5" t="s">
        <v>944</v>
      </c>
      <c r="H32" s="53"/>
      <c r="I32" s="51" t="s">
        <v>985</v>
      </c>
      <c r="J32" s="52" t="s">
        <v>109</v>
      </c>
      <c r="K32" s="52" t="s">
        <v>110</v>
      </c>
    </row>
    <row r="33" spans="1:11" ht="25.5">
      <c r="A33" s="5"/>
      <c r="B33" s="5" t="s">
        <v>986</v>
      </c>
      <c r="C33" s="5" t="s">
        <v>930</v>
      </c>
      <c r="D33" s="53"/>
      <c r="E33" s="51" t="s">
        <v>987</v>
      </c>
      <c r="F33" s="52" t="s">
        <v>109</v>
      </c>
      <c r="G33" s="52" t="s">
        <v>110</v>
      </c>
      <c r="H33" s="53"/>
      <c r="I33" s="5"/>
      <c r="J33" s="5" t="s">
        <v>944</v>
      </c>
      <c r="K33" s="5" t="s">
        <v>988</v>
      </c>
    </row>
    <row r="34" spans="1:11" ht="25.5">
      <c r="A34" s="5"/>
      <c r="B34" s="5" t="s">
        <v>986</v>
      </c>
      <c r="C34" s="5" t="s">
        <v>934</v>
      </c>
      <c r="D34" s="53"/>
      <c r="E34" s="5"/>
      <c r="F34" s="5" t="s">
        <v>944</v>
      </c>
      <c r="G34" s="5" t="s">
        <v>989</v>
      </c>
      <c r="H34" s="53"/>
      <c r="I34" s="51" t="s">
        <v>990</v>
      </c>
      <c r="J34" s="52" t="s">
        <v>109</v>
      </c>
      <c r="K34" s="52" t="s">
        <v>110</v>
      </c>
    </row>
    <row r="35" spans="1:11" ht="25.5">
      <c r="A35" s="5"/>
      <c r="B35" s="55" t="s">
        <v>991</v>
      </c>
      <c r="C35" s="5" t="s">
        <v>930</v>
      </c>
      <c r="D35" s="53"/>
      <c r="E35" s="51" t="s">
        <v>992</v>
      </c>
      <c r="F35" s="52" t="s">
        <v>109</v>
      </c>
      <c r="G35" s="52" t="s">
        <v>110</v>
      </c>
      <c r="H35" s="53"/>
      <c r="I35" s="5"/>
      <c r="J35" s="5" t="s">
        <v>988</v>
      </c>
      <c r="K35" s="5" t="s">
        <v>944</v>
      </c>
    </row>
    <row r="36" spans="1:11" ht="25.5">
      <c r="A36" s="5"/>
      <c r="B36" s="55" t="s">
        <v>993</v>
      </c>
      <c r="C36" s="5" t="s">
        <v>934</v>
      </c>
      <c r="D36" s="53"/>
      <c r="E36" s="5"/>
      <c r="F36" s="5" t="s">
        <v>989</v>
      </c>
      <c r="G36" s="5" t="s">
        <v>944</v>
      </c>
      <c r="H36" s="53"/>
      <c r="I36" s="51" t="s">
        <v>994</v>
      </c>
      <c r="J36" s="52" t="s">
        <v>109</v>
      </c>
      <c r="K36" s="52" t="s">
        <v>110</v>
      </c>
    </row>
    <row r="37" spans="1:11" ht="25.5">
      <c r="A37" s="51" t="s">
        <v>995</v>
      </c>
      <c r="B37" s="52" t="s">
        <v>109</v>
      </c>
      <c r="C37" s="52" t="s">
        <v>110</v>
      </c>
      <c r="D37" s="53"/>
      <c r="I37" s="5"/>
      <c r="J37" s="5" t="s">
        <v>996</v>
      </c>
      <c r="K37" s="5" t="s">
        <v>944</v>
      </c>
    </row>
    <row r="38" spans="1:11" ht="25.5">
      <c r="A38" s="5"/>
      <c r="B38" s="5" t="s">
        <v>997</v>
      </c>
      <c r="C38" s="5" t="s">
        <v>930</v>
      </c>
      <c r="D38" s="53"/>
      <c r="I38" s="51" t="s">
        <v>998</v>
      </c>
      <c r="J38" s="52" t="s">
        <v>109</v>
      </c>
      <c r="K38" s="52" t="s">
        <v>110</v>
      </c>
    </row>
    <row r="39" spans="1:11" ht="12.75">
      <c r="A39" s="5"/>
      <c r="B39" s="5" t="s">
        <v>997</v>
      </c>
      <c r="C39" s="5" t="s">
        <v>934</v>
      </c>
      <c r="D39" s="53"/>
      <c r="I39" s="5"/>
      <c r="J39" s="5" t="s">
        <v>999</v>
      </c>
      <c r="K39" s="5" t="s">
        <v>944</v>
      </c>
    </row>
    <row r="40" spans="1:4" ht="25.5">
      <c r="A40" s="51" t="s">
        <v>1000</v>
      </c>
      <c r="B40" s="52" t="s">
        <v>109</v>
      </c>
      <c r="C40" s="52" t="s">
        <v>110</v>
      </c>
      <c r="D40" s="53"/>
    </row>
    <row r="41" spans="1:4" ht="12.75">
      <c r="A41" s="5"/>
      <c r="B41" s="5" t="s">
        <v>1001</v>
      </c>
      <c r="C41" s="5" t="s">
        <v>930</v>
      </c>
      <c r="D41" s="53"/>
    </row>
    <row r="42" spans="1:4" ht="12.75">
      <c r="A42" s="5"/>
      <c r="B42" s="5" t="s">
        <v>1001</v>
      </c>
      <c r="C42" s="5" t="s">
        <v>934</v>
      </c>
      <c r="D42" s="53"/>
    </row>
    <row r="43" spans="1:4" ht="25.5">
      <c r="A43" s="51" t="s">
        <v>1002</v>
      </c>
      <c r="B43" s="52" t="s">
        <v>109</v>
      </c>
      <c r="C43" s="52" t="s">
        <v>110</v>
      </c>
      <c r="D43" s="53"/>
    </row>
    <row r="44" spans="1:4" ht="12.75">
      <c r="A44" s="5"/>
      <c r="B44" s="5" t="s">
        <v>930</v>
      </c>
      <c r="C44" s="5" t="s">
        <v>932</v>
      </c>
      <c r="D44" s="53"/>
    </row>
    <row r="45" spans="1:4" ht="12.75">
      <c r="A45" s="5"/>
      <c r="B45" s="5" t="s">
        <v>934</v>
      </c>
      <c r="C45" s="5" t="s">
        <v>932</v>
      </c>
      <c r="D45" s="53"/>
    </row>
    <row r="46" spans="1:4" ht="12.75">
      <c r="A46" s="5"/>
      <c r="B46" s="5" t="s">
        <v>930</v>
      </c>
      <c r="C46" s="5" t="s">
        <v>940</v>
      </c>
      <c r="D46" s="53"/>
    </row>
    <row r="47" spans="1:4" ht="12.75">
      <c r="A47" s="5"/>
      <c r="B47" s="5" t="s">
        <v>934</v>
      </c>
      <c r="C47" s="5" t="s">
        <v>940</v>
      </c>
      <c r="D47" s="53"/>
    </row>
    <row r="48" spans="1:4" ht="12.75">
      <c r="A48" s="5"/>
      <c r="B48" s="5" t="s">
        <v>944</v>
      </c>
      <c r="C48" s="5" t="s">
        <v>949</v>
      </c>
      <c r="D48" s="53"/>
    </row>
    <row r="49" spans="1:4" ht="12.75">
      <c r="A49" s="5"/>
      <c r="B49" s="5" t="s">
        <v>944</v>
      </c>
      <c r="C49" s="5" t="s">
        <v>981</v>
      </c>
      <c r="D49" s="53"/>
    </row>
    <row r="50" spans="1:4" ht="12.75">
      <c r="A50" s="5"/>
      <c r="B50" s="5" t="s">
        <v>944</v>
      </c>
      <c r="C50" s="5" t="s">
        <v>1003</v>
      </c>
      <c r="D50" s="53"/>
    </row>
    <row r="51" spans="1:4" ht="12.75">
      <c r="A51" s="5"/>
      <c r="B51" s="5" t="s">
        <v>944</v>
      </c>
      <c r="C51" s="5" t="s">
        <v>1004</v>
      </c>
      <c r="D51" s="53"/>
    </row>
    <row r="52" spans="1:4" ht="12.75">
      <c r="A52" s="5"/>
      <c r="B52" s="5" t="s">
        <v>944</v>
      </c>
      <c r="C52" s="5" t="s">
        <v>960</v>
      </c>
      <c r="D52" s="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dc:creator>
  <cp:keywords/>
  <dc:description/>
  <cp:lastModifiedBy>DANH</cp:lastModifiedBy>
  <cp:lastPrinted>2016-02-22T00:59:11Z</cp:lastPrinted>
  <dcterms:created xsi:type="dcterms:W3CDTF">2006-03-12T23:35:12Z</dcterms:created>
  <dcterms:modified xsi:type="dcterms:W3CDTF">2021-11-23T10:35:23Z</dcterms:modified>
  <cp:category/>
  <cp:version/>
  <cp:contentType/>
  <cp:contentStatus/>
</cp:coreProperties>
</file>