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HANG DIEM" sheetId="2" r:id="rId2"/>
    <sheet name="TT DN" sheetId="3" r:id="rId3"/>
    <sheet name="CHUNG TU" sheetId="4" r:id="rId4"/>
    <sheet name="SDDK" sheetId="5" r:id="rId5"/>
    <sheet name="Phân bổ CPTT" sheetId="6" r:id="rId6"/>
    <sheet name="THCT 152" sheetId="7" r:id="rId7"/>
    <sheet name="CPSXKD 642_yếu tố" sheetId="8" r:id="rId8"/>
  </sheets>
  <externalReferences>
    <externalReference r:id="rId11"/>
  </externalReferences>
  <definedNames>
    <definedName name="_Fill" hidden="1">#REF!</definedName>
    <definedName name="_xlfn.IFERROR" hidden="1">#NAME?</definedName>
    <definedName name="_xlfn.SUMIFS" hidden="1">#NAME?</definedName>
    <definedName name="BDMTK">'SDDK'!$C$6:$O$65536</definedName>
    <definedName name="SOKTMAY">'CHUNG TU'!$A$6:$I$65536</definedName>
  </definedNames>
  <calcPr fullCalcOnLoad="1"/>
</workbook>
</file>

<file path=xl/comments5.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<sst xmlns="http://schemas.openxmlformats.org/spreadsheetml/2006/main" count="3170" uniqueCount="1282">
  <si>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</si>
  <si>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</si>
  <si>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</si>
  <si>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</si>
  <si>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</si>
  <si>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</si>
  <si>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</si>
  <si>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</si>
  <si>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</si>
  <si>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</si>
  <si>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</si>
  <si>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</si>
  <si>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</si>
  <si>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</si>
  <si>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</si>
  <si>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</si>
  <si>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</si>
  <si>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</si>
  <si>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</si>
  <si>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</si>
  <si>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</si>
  <si>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</si>
  <si>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</si>
  <si>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</si>
  <si>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</si>
  <si>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</si>
  <si>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</si>
  <si>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</si>
  <si>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</si>
  <si>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</si>
  <si>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</si>
  <si>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</si>
  <si>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</si>
  <si>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</si>
  <si>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</si>
  <si>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</si>
  <si>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</si>
  <si>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</si>
  <si>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</si>
  <si>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</si>
  <si>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</si>
  <si>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</si>
  <si>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</si>
  <si>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</si>
  <si>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</si>
  <si>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</si>
  <si>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</si>
  <si>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</si>
  <si>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</si>
  <si>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</si>
  <si>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</si>
  <si>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</si>
  <si>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</si>
  <si>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</si>
  <si>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</si>
  <si>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</si>
  <si>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</si>
  <si>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</si>
  <si>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</si>
  <si>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</si>
  <si>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</si>
  <si>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</si>
  <si>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</si>
  <si>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</si>
  <si>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</si>
  <si>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</si>
  <si>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</si>
  <si>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</si>
  <si>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</si>
  <si>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</si>
  <si>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</si>
  <si>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</si>
  <si>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</si>
  <si>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</si>
  <si>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</si>
  <si>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</si>
  <si>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</si>
  <si>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</si>
  <si>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</si>
  <si>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</si>
  <si>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</si>
  <si>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</si>
  <si>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</si>
  <si>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</si>
  <si>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</si>
  <si>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</si>
  <si>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</si>
  <si>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</si>
  <si>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</si>
  <si>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</si>
  <si>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</si>
  <si>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</si>
  <si>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</si>
  <si>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</si>
  <si>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</si>
  <si>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</si>
  <si>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</si>
  <si>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</si>
  <si>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</si>
  <si>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</si>
  <si>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</si>
  <si>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</si>
  <si>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</si>
  <si>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</si>
  <si>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</si>
  <si>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</si>
  <si>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</si>
  <si>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</si>
  <si>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</si>
  <si>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</si>
  <si>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</si>
  <si>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</si>
  <si>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</si>
  <si>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Công ty GEMARTRANS</t>
  </si>
  <si>
    <t>Công Ty Đan Anh</t>
  </si>
  <si>
    <t>DNTN Kiến Phú</t>
  </si>
  <si>
    <t>Cửa hàng điện máy số 04</t>
  </si>
  <si>
    <t>XN LIDOVIT</t>
  </si>
  <si>
    <t>Xí Nghiệp LIDOVIT</t>
  </si>
  <si>
    <t xml:space="preserve">Công ty GEMARTRANS </t>
  </si>
  <si>
    <t>SỐ HIỆU</t>
  </si>
  <si>
    <t>NGÀY GHI SỔ</t>
  </si>
  <si>
    <t>CHỨNG TỪ</t>
  </si>
  <si>
    <t>GHI NỢ</t>
  </si>
  <si>
    <t>SỐ</t>
  </si>
  <si>
    <t>NGÀY</t>
  </si>
  <si>
    <t>SỐ TIỀN</t>
  </si>
  <si>
    <t>Tổng cộng</t>
  </si>
  <si>
    <t>NHẬP - XUẤT - TỒN NGUYÊN, VẬT LIỆU</t>
  </si>
  <si>
    <t>MÃ
HÀNG</t>
  </si>
  <si>
    <t>TÊN VẬT LIỆU</t>
  </si>
  <si>
    <t>ĐƠN VỊ</t>
  </si>
  <si>
    <t>TỒN ĐẦU KỲ</t>
  </si>
  <si>
    <t>NHẬP TRONG KỲ</t>
  </si>
  <si>
    <t>XUẤT TRONG KỲ</t>
  </si>
  <si>
    <t>TỒN CUỐI KỲ</t>
  </si>
  <si>
    <t>Số lượng</t>
  </si>
  <si>
    <t>Thành tiền</t>
  </si>
  <si>
    <t>Đơn giá</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</si>
  <si>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</si>
  <si>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</si>
  <si>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</si>
  <si>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</si>
  <si>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</si>
  <si>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</si>
  <si>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</si>
  <si>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</si>
  <si>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</si>
  <si>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</si>
  <si>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</si>
  <si>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</si>
  <si>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</si>
  <si>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TK ĐỐI ỨNG</t>
  </si>
  <si>
    <t>CHIA RA</t>
  </si>
  <si>
    <t>T.KHOẢN
 ĐỐI ỨNG</t>
  </si>
  <si>
    <t>GHI CÓ TK 642</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</si>
  <si>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</si>
  <si>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</si>
  <si>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</si>
  <si>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</si>
  <si>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</si>
  <si>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</si>
  <si>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</si>
  <si>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</si>
  <si>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</si>
  <si>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</si>
  <si>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</si>
  <si>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</si>
  <si>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</si>
  <si>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</si>
  <si>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</si>
  <si>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</si>
  <si>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</si>
  <si>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</si>
  <si>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</si>
  <si>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</si>
  <si>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</si>
  <si>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</si>
  <si>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</si>
  <si>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</si>
  <si>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</si>
  <si>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</si>
  <si>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</si>
  <si>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</si>
  <si>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</si>
  <si>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</si>
  <si>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</si>
  <si>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</si>
  <si>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</si>
  <si>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</si>
  <si>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KIỂM TRA TKNO</t>
  </si>
  <si>
    <t>KIỂM TRA TKCO</t>
  </si>
  <si>
    <t>PT10/001</t>
  </si>
  <si>
    <t>Nguyễn Minh Ngân</t>
  </si>
  <si>
    <t>PC10/001</t>
  </si>
  <si>
    <t>Công ty cho thuê Tài Chính</t>
  </si>
  <si>
    <t>PC10/002</t>
  </si>
  <si>
    <t>PC10/003</t>
  </si>
  <si>
    <t>Trạm thu phí XL Hà Nội</t>
  </si>
  <si>
    <t>PC10/004</t>
  </si>
  <si>
    <t>PC10/005</t>
  </si>
  <si>
    <t>NH Ngoại Thương</t>
  </si>
  <si>
    <t>PN 10/001NVL</t>
  </si>
  <si>
    <t>Công ty LOGITIC</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</si>
  <si>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</si>
  <si>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</si>
  <si>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</si>
  <si>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</si>
  <si>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</si>
  <si>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</si>
  <si>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</si>
  <si>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</si>
  <si>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</si>
  <si>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</si>
  <si>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</si>
  <si>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</si>
  <si>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</si>
  <si>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</si>
  <si>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</si>
  <si>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</si>
  <si>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</si>
  <si>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</si>
  <si>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</si>
  <si>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</si>
  <si>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</si>
  <si>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</si>
  <si>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</si>
  <si>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</si>
  <si>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</si>
  <si>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</si>
  <si>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</si>
  <si>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</si>
  <si>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</si>
  <si>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</si>
  <si>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</si>
  <si>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</si>
  <si>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</si>
  <si>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</si>
  <si>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</si>
  <si>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</si>
  <si>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</si>
  <si>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</si>
  <si>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</si>
  <si>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</si>
  <si>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</si>
  <si>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</si>
  <si>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</si>
  <si>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</si>
  <si>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</si>
  <si>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</si>
  <si>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</si>
  <si>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</si>
  <si>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</si>
  <si>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</si>
  <si>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</si>
  <si>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</si>
  <si>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</si>
  <si>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</si>
  <si>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</si>
  <si>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</si>
  <si>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Công ty Metro</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</si>
  <si>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</si>
  <si>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</si>
  <si>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</si>
  <si>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</si>
  <si>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</si>
  <si>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</si>
  <si>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</si>
  <si>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</si>
  <si>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</si>
  <si>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</si>
  <si>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</si>
  <si>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</si>
  <si>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</si>
  <si>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</si>
  <si>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</si>
  <si>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</si>
  <si>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</si>
  <si>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</si>
  <si>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</si>
  <si>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</si>
  <si>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</si>
  <si>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</si>
  <si>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</si>
  <si>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</si>
  <si>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</si>
  <si>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</si>
  <si>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</si>
  <si>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</si>
  <si>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</si>
  <si>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</si>
  <si>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</si>
  <si>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</si>
  <si>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</si>
  <si>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</si>
  <si>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</si>
  <si>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</si>
  <si>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</si>
  <si>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</si>
  <si>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</si>
  <si>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</si>
  <si>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</si>
  <si>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01</t>
  </si>
  <si>
    <t>02</t>
  </si>
  <si>
    <t>03</t>
  </si>
  <si>
    <t>04</t>
  </si>
  <si>
    <t>05</t>
  </si>
  <si>
    <t>TKHOẢN</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</si>
  <si>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</si>
  <si>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</si>
  <si>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</si>
  <si>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</si>
  <si>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</si>
  <si>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</si>
  <si>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</si>
  <si>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</si>
  <si>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</si>
  <si>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</si>
  <si>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</si>
  <si>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</si>
  <si>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</si>
  <si>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</si>
  <si>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</si>
  <si>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</si>
  <si>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</si>
  <si>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</si>
  <si>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</si>
  <si>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</si>
  <si>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</si>
  <si>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</si>
  <si>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</si>
  <si>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</si>
  <si>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</si>
  <si>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</si>
  <si>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</si>
  <si>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</si>
  <si>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</si>
  <si>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</si>
  <si>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</si>
  <si>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</si>
  <si>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</si>
  <si>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</si>
  <si>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</si>
  <si>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</si>
  <si>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</si>
  <si>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</si>
  <si>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</si>
  <si>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</si>
  <si>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</si>
  <si>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</si>
  <si>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</si>
  <si>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</si>
  <si>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</si>
  <si>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</si>
  <si>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</si>
  <si>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</si>
  <si>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</si>
  <si>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</si>
  <si>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</si>
  <si>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</si>
  <si>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</si>
  <si>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</si>
  <si>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</si>
  <si>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</si>
  <si>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</si>
  <si>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</si>
  <si>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</si>
  <si>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</si>
  <si>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</si>
  <si>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</si>
  <si>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</si>
  <si>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</si>
  <si>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</si>
  <si>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</si>
  <si>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</si>
  <si>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</si>
  <si>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</si>
  <si>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</si>
  <si>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</si>
  <si>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</si>
  <si>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</si>
  <si>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</si>
  <si>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</si>
  <si>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</si>
  <si>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</si>
  <si>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</si>
  <si>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</si>
  <si>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</si>
  <si>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</si>
  <si>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</si>
  <si>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</si>
  <si>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</si>
  <si>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</si>
  <si>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</si>
  <si>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</si>
  <si>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</si>
  <si>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</si>
  <si>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</si>
  <si>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</si>
  <si>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</si>
  <si>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</si>
  <si>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</si>
  <si>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</si>
  <si>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</si>
  <si>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</si>
  <si>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</si>
  <si>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</si>
  <si>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</si>
  <si>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</si>
  <si>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</si>
  <si>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</si>
  <si>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</si>
  <si>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</si>
  <si>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</si>
  <si>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</si>
  <si>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</si>
  <si>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</si>
  <si>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</si>
  <si>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</si>
  <si>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</si>
  <si>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</si>
  <si>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</si>
  <si>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</si>
  <si>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</si>
  <si>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</si>
  <si>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</si>
  <si>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</si>
  <si>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</si>
  <si>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</si>
  <si>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</si>
  <si>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</si>
  <si>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</si>
  <si>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</si>
  <si>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</si>
  <si>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</si>
  <si>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</si>
  <si>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</si>
  <si>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</si>
  <si>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</si>
  <si>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</si>
  <si>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</si>
  <si>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</si>
  <si>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</si>
  <si>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</si>
  <si>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</si>
  <si>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</si>
  <si>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</si>
  <si>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Phải trả công nhân viên</t>
  </si>
  <si>
    <t>335</t>
  </si>
  <si>
    <t>Chi phí phải trả</t>
  </si>
  <si>
    <t>3361</t>
  </si>
  <si>
    <t>Phải trả ngắn hạn nội bộ</t>
  </si>
  <si>
    <t>3362</t>
  </si>
  <si>
    <t>Phải trả dài hạn nội bộ</t>
  </si>
  <si>
    <t>Phải trả, phải nộp khác</t>
  </si>
  <si>
    <t>344</t>
  </si>
  <si>
    <t>Nhận ký quỹ, ký cược dài hạn</t>
  </si>
  <si>
    <t>411</t>
  </si>
  <si>
    <t>Nguồn vốn kinh doanh</t>
  </si>
  <si>
    <t>412</t>
  </si>
  <si>
    <t>Chênh lệch đánh giá lại tài sản</t>
  </si>
  <si>
    <t>8211</t>
  </si>
  <si>
    <t>Chi phí thuế TNDN HH</t>
  </si>
  <si>
    <t>Người ghi sổ</t>
  </si>
  <si>
    <t>Kế toán trưởng</t>
  </si>
  <si>
    <t>Giám đốc</t>
  </si>
  <si>
    <t>(Ký, họ tên)</t>
  </si>
  <si>
    <t>(Ký, họ tên, đóng dấu)</t>
  </si>
  <si>
    <t>Địa chỉ:</t>
  </si>
  <si>
    <t>- Sổ này có             trang, đánh số từ trang 01 đến trang</t>
  </si>
  <si>
    <t>- Ngày mở số:</t>
  </si>
  <si>
    <t xml:space="preserve">Ngày            tháng         năm   </t>
  </si>
  <si>
    <t>(Ký, họ tê)</t>
  </si>
  <si>
    <t>Người lập</t>
  </si>
  <si>
    <t xml:space="preserve">Ngày      tháng     năm   </t>
  </si>
  <si>
    <t>(Ký tên, đóng dấu)</t>
  </si>
  <si>
    <t>ĐVT</t>
  </si>
  <si>
    <t xml:space="preserve">Ngày          tháng           năm      </t>
  </si>
  <si>
    <t>Mẫu số S11-DN</t>
  </si>
  <si>
    <t>Mẫu số S36-DN</t>
  </si>
  <si>
    <t>PKT10/001</t>
  </si>
  <si>
    <t>PKT10/003</t>
  </si>
  <si>
    <t>Lê Văn Tám</t>
  </si>
  <si>
    <t>PKT10/004</t>
  </si>
  <si>
    <t>PKT10/005</t>
  </si>
  <si>
    <t>PKT10/006</t>
  </si>
  <si>
    <t>PKT10/007</t>
  </si>
  <si>
    <t>PKT10/008</t>
  </si>
  <si>
    <t>PKT10/009</t>
  </si>
  <si>
    <t>PKT10/010</t>
  </si>
  <si>
    <t>PKT10/011</t>
  </si>
  <si>
    <t>PKT10/012</t>
  </si>
  <si>
    <t>PKT10/013</t>
  </si>
  <si>
    <t>Nguyễn Ngọc Thiên Thanh</t>
  </si>
  <si>
    <t>Công ty Thiên Ngân</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</si>
  <si>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</si>
  <si>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</si>
  <si>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</si>
  <si>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</si>
  <si>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</si>
  <si>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</si>
  <si>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</si>
  <si>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</si>
  <si>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</si>
  <si>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</si>
  <si>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</si>
  <si>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</si>
  <si>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</si>
  <si>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</si>
  <si>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</si>
  <si>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</si>
  <si>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</si>
  <si>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</si>
  <si>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</si>
  <si>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</si>
  <si>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</si>
  <si>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</si>
  <si>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</si>
  <si>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</si>
  <si>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</si>
  <si>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</si>
  <si>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</si>
  <si>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</si>
  <si>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</si>
  <si>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</si>
  <si>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</si>
  <si>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</si>
  <si>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</si>
  <si>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</si>
  <si>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</si>
  <si>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</si>
  <si>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</si>
  <si>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</si>
  <si>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</si>
  <si>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</si>
  <si>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</si>
  <si>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</si>
  <si>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</si>
  <si>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</si>
  <si>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</si>
  <si>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</si>
  <si>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</si>
  <si>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</si>
  <si>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</si>
  <si>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</si>
  <si>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</si>
  <si>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</si>
  <si>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</si>
  <si>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</si>
  <si>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</si>
  <si>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</si>
  <si>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</si>
  <si>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</si>
  <si>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</si>
  <si>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</si>
  <si>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</si>
  <si>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</si>
  <si>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</si>
  <si>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</si>
  <si>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</si>
  <si>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</si>
  <si>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</si>
  <si>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</si>
  <si>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</si>
  <si>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</si>
  <si>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</si>
  <si>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</si>
  <si>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</si>
  <si>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</si>
  <si>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</si>
  <si>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</si>
  <si>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</si>
  <si>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</si>
  <si>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</si>
  <si>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</si>
  <si>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</si>
  <si>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</si>
  <si>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</si>
  <si>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</si>
  <si>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</si>
  <si>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</si>
  <si>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</si>
  <si>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</si>
  <si>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</si>
  <si>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</si>
  <si>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</si>
  <si>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</si>
  <si>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</si>
  <si>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</si>
  <si>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</si>
  <si>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</si>
  <si>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</si>
  <si>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</si>
  <si>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</si>
  <si>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</si>
  <si>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</si>
  <si>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</si>
  <si>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</si>
  <si>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</si>
  <si>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</si>
  <si>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</si>
  <si>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</si>
  <si>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</si>
  <si>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</si>
  <si>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Ông Minh Hà</t>
  </si>
  <si>
    <t>Bùi Văn Toàn</t>
  </si>
  <si>
    <t>SỐ PHIẾU 
KẾ TOÁN</t>
  </si>
  <si>
    <t>SỐ PHIẾU
NHẬP/ XUẤT</t>
  </si>
  <si>
    <t>TÊN NV/CSKD</t>
  </si>
  <si>
    <t>Cái</t>
  </si>
  <si>
    <t>STT</t>
  </si>
  <si>
    <t xml:space="preserve">Đơn vị: </t>
  </si>
  <si>
    <t>Phòng kế toán</t>
  </si>
  <si>
    <t>Công ty TNHH Tân Tạo</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</si>
  <si>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</si>
  <si>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</si>
  <si>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</si>
  <si>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</si>
  <si>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</si>
  <si>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</si>
  <si>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</si>
  <si>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</si>
  <si>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</si>
  <si>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</si>
  <si>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</si>
  <si>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</si>
  <si>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</si>
  <si>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</si>
  <si>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</si>
  <si>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</si>
  <si>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</si>
  <si>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</si>
  <si>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</si>
  <si>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</si>
  <si>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</si>
  <si>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</si>
  <si>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</si>
  <si>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</si>
  <si>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</si>
  <si>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</si>
  <si>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</si>
  <si>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</si>
  <si>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</si>
  <si>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</si>
  <si>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</si>
  <si>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</si>
  <si>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</si>
  <si>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</si>
  <si>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</si>
  <si>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</si>
  <si>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</si>
  <si>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</si>
  <si>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</si>
  <si>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</si>
  <si>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</si>
  <si>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</si>
  <si>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</si>
  <si>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</si>
  <si>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</si>
  <si>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</si>
  <si>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</si>
  <si>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</si>
  <si>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</si>
  <si>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</si>
  <si>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</si>
  <si>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</si>
  <si>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</si>
  <si>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</si>
  <si>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</si>
  <si>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</si>
  <si>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</si>
  <si>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</si>
  <si>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</si>
  <si>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</si>
  <si>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</si>
  <si>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</si>
  <si>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</si>
  <si>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</si>
  <si>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</si>
  <si>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</si>
  <si>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</si>
  <si>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</si>
  <si>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</si>
  <si>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</si>
  <si>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</si>
  <si>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</si>
  <si>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</si>
  <si>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</si>
  <si>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</si>
  <si>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</si>
  <si>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</si>
  <si>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</si>
  <si>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</si>
  <si>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</si>
  <si>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</si>
  <si>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</si>
  <si>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</si>
  <si>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</si>
  <si>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</si>
  <si>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</si>
  <si>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</si>
  <si>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</si>
  <si>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</si>
  <si>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</si>
  <si>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</si>
  <si>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</si>
  <si>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</si>
  <si>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</si>
  <si>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</si>
  <si>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</si>
  <si>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</si>
  <si>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</si>
  <si>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</si>
  <si>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</si>
  <si>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</si>
  <si>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</si>
  <si>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</si>
  <si>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</si>
  <si>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</si>
  <si>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</si>
  <si>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</si>
  <si>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</si>
  <si>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</si>
  <si>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</si>
  <si>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</si>
  <si>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</si>
  <si>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</si>
  <si>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</si>
  <si>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</si>
  <si>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</si>
  <si>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</si>
  <si>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</si>
  <si>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</si>
  <si>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</si>
  <si>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</si>
  <si>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</si>
  <si>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</si>
  <si>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</si>
  <si>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</si>
  <si>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</si>
  <si>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</si>
  <si>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</si>
  <si>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</si>
  <si>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</si>
  <si>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</si>
  <si>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</si>
  <si>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</si>
  <si>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</si>
  <si>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</si>
  <si>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Công ty TNHH Mỹ Lệ</t>
  </si>
  <si>
    <t>Công ty TNHH Khanh Hòa</t>
  </si>
  <si>
    <t>Công ty TNHH Linh Lan</t>
  </si>
  <si>
    <t>Công ty TNHH Thiên Phú</t>
  </si>
  <si>
    <t>Công ty TNHH Vĩnh viễn</t>
  </si>
  <si>
    <t>Công ty TNHH Sen Hồng</t>
  </si>
  <si>
    <t>Công ty CP Tân Tạo</t>
  </si>
  <si>
    <t>Công ty Kinh Doanh Thép Việt</t>
  </si>
  <si>
    <t>Công ty TNHH Tú Ngọc</t>
  </si>
  <si>
    <t>Công ty TNHH An Nam</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</si>
  <si>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</si>
  <si>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</si>
  <si>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</si>
  <si>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</si>
  <si>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</si>
  <si>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</si>
  <si>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</si>
  <si>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Công ty TNHH Quang Ngọc</t>
  </si>
  <si>
    <t>Phải trả ngắn hạn Công ty TNHH Quang Ngọc</t>
  </si>
  <si>
    <t>Phải trả ngắn hạn Công ty TNHH Tú Ngọc</t>
  </si>
  <si>
    <t>Phải trả ngắn hạn Công ty Kinh Doanh Thép Việt</t>
  </si>
  <si>
    <t>Phải trả ngắn hạn Công ty TNHH Vĩnh viễn</t>
  </si>
  <si>
    <t>Công ty TNHH Yến Phi</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</si>
  <si>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</si>
  <si>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</si>
  <si>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</si>
  <si>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</si>
  <si>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</si>
  <si>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</si>
  <si>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</si>
  <si>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</si>
  <si>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</si>
  <si>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</si>
  <si>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</si>
  <si>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</si>
  <si>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</si>
  <si>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</si>
  <si>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</si>
  <si>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</si>
  <si>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</si>
  <si>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</si>
  <si>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</si>
  <si>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</si>
  <si>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</si>
  <si>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</si>
  <si>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</si>
  <si>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</si>
  <si>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</si>
  <si>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</si>
  <si>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</si>
  <si>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</si>
  <si>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</si>
  <si>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</si>
  <si>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</si>
  <si>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</si>
  <si>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</si>
  <si>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</si>
  <si>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</si>
  <si>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</si>
  <si>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</si>
  <si>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</si>
  <si>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</si>
  <si>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</si>
  <si>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</si>
  <si>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</si>
  <si>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</si>
  <si>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</si>
  <si>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</si>
  <si>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</si>
  <si>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</si>
  <si>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</si>
  <si>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</si>
  <si>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</si>
  <si>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</si>
  <si>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</si>
  <si>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</si>
  <si>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</si>
  <si>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</si>
  <si>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</si>
  <si>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</si>
  <si>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</si>
  <si>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</si>
  <si>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</si>
  <si>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</si>
  <si>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</si>
  <si>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</si>
  <si>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</si>
  <si>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</si>
  <si>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</si>
  <si>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</si>
  <si>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</si>
  <si>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</si>
  <si>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</si>
  <si>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</si>
  <si>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</si>
  <si>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</si>
  <si>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</si>
  <si>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</si>
  <si>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</si>
  <si>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</si>
  <si>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</si>
  <si>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</si>
  <si>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</si>
  <si>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</si>
  <si>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</si>
  <si>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</si>
  <si>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</si>
  <si>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</si>
  <si>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</si>
  <si>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</si>
  <si>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</si>
  <si>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</si>
  <si>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</si>
  <si>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</si>
  <si>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</si>
  <si>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</si>
  <si>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</si>
  <si>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</si>
  <si>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</si>
  <si>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</si>
  <si>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</si>
  <si>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</si>
  <si>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</si>
  <si>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</si>
  <si>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</si>
  <si>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</si>
  <si>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</si>
  <si>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</si>
  <si>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</si>
  <si>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</si>
  <si>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</si>
  <si>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r>
      <t xml:space="preserve">BẢNG </t>
    </r>
    <r>
      <rPr>
        <b/>
        <sz val="16"/>
        <color indexed="10"/>
        <rFont val="Arial"/>
        <family val="2"/>
      </rPr>
      <t>TỔNG HỢP</t>
    </r>
    <r>
      <rPr>
        <b/>
        <sz val="16"/>
        <color indexed="12"/>
        <rFont val="Arial"/>
        <family val="2"/>
      </rPr>
      <t xml:space="preserve"> CHI TIẾT TÀI KHOẢN 152</t>
    </r>
  </si>
  <si>
    <t>SỔ CHI PHÍ SẢN XUẤT KINH DOANH THEO YẾU TỐ</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</si>
  <si>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</si>
  <si>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</si>
  <si>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</si>
  <si>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</si>
  <si>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</si>
  <si>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</si>
  <si>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</si>
  <si>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</si>
  <si>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</si>
  <si>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</si>
  <si>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</si>
  <si>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</si>
  <si>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</si>
  <si>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</si>
  <si>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</si>
  <si>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</si>
  <si>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</si>
  <si>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</si>
  <si>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</si>
  <si>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</si>
  <si>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Phân xưởng 1</t>
  </si>
  <si>
    <t>Phân xưởng 2</t>
  </si>
  <si>
    <t>Tháng 10/2020</t>
  </si>
  <si>
    <t>Giá trị 
còn lại</t>
  </si>
  <si>
    <t>Bộ phận sử dụng</t>
  </si>
  <si>
    <t>Ghi chú</t>
  </si>
  <si>
    <t>08/10/2020</t>
  </si>
  <si>
    <t>BẢNG PHÂN BỔ CHI PHÍ TRẢ TRƯỚC - 242</t>
  </si>
  <si>
    <t>Mã CP
 và CCDC</t>
  </si>
  <si>
    <t>Tên CP và CCDC</t>
  </si>
  <si>
    <t>Ngày tính
 phân bổ</t>
  </si>
  <si>
    <t>Giá trị</t>
  </si>
  <si>
    <t>Số tháng 
phân bổ</t>
  </si>
  <si>
    <t>Mức phân 
bổ tháng</t>
  </si>
  <si>
    <t>Giá trị phân bổ 
lũy kế kỳ trước</t>
  </si>
  <si>
    <t>Giá trị phân 
bổ lũy kế</t>
  </si>
  <si>
    <t>Tài khoản chi phí</t>
  </si>
  <si>
    <t>Tài khoản chờ phân bổ</t>
  </si>
  <si>
    <t>A/</t>
  </si>
  <si>
    <t>CCDC cần phân bổ</t>
  </si>
  <si>
    <t>B/</t>
  </si>
  <si>
    <t>VT1</t>
  </si>
  <si>
    <t>VT2</t>
  </si>
  <si>
    <t>VS1</t>
  </si>
  <si>
    <t>VS2</t>
  </si>
  <si>
    <t>BU</t>
  </si>
  <si>
    <t>TỔNG CỘNG</t>
  </si>
  <si>
    <t>Dịch vụ trả trước cần phân bổ</t>
  </si>
  <si>
    <t>CPT</t>
  </si>
  <si>
    <t>Chi phí thuê văn phòng</t>
  </si>
  <si>
    <t>THN</t>
  </si>
  <si>
    <t>Chi phí thuê cửa hàng</t>
  </si>
  <si>
    <t>Giá trị phân 
bổ tháng này</t>
  </si>
  <si>
    <t>Ở Phòng hành chính</t>
  </si>
  <si>
    <t>Quản lý DN</t>
  </si>
  <si>
    <t>Bán hàng</t>
  </si>
  <si>
    <t>Máy vi tính Dell 01</t>
  </si>
  <si>
    <t>Máy vi tính Dell 02</t>
  </si>
  <si>
    <t>Máy vắt sổ Daewoo</t>
  </si>
  <si>
    <t>Máy vắt sổ National</t>
  </si>
  <si>
    <t>Bàn là hơi nước</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</si>
  <si>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</si>
  <si>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</si>
  <si>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</si>
  <si>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</si>
  <si>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</si>
  <si>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</si>
  <si>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</si>
  <si>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</si>
  <si>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</si>
  <si>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</si>
  <si>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</si>
  <si>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</si>
  <si>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</si>
  <si>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</si>
  <si>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</si>
  <si>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</si>
  <si>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</si>
  <si>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</si>
  <si>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</si>
  <si>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</si>
  <si>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</si>
  <si>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Công ty CP Hoa Sen</t>
  </si>
  <si>
    <t>23/10/2020</t>
  </si>
  <si>
    <t>24/10/2020</t>
  </si>
  <si>
    <t>Công ty TNHH Hoàng Anh</t>
  </si>
  <si>
    <t>25/10/2020</t>
  </si>
  <si>
    <t>Phải thu ngắn hạn Công ty TNHH Hồng Ký</t>
  </si>
  <si>
    <t>Phải thu dài hạn Công ty TNHH Minh Long</t>
  </si>
  <si>
    <t>26/10/2020</t>
  </si>
  <si>
    <t>27/10/2020</t>
  </si>
  <si>
    <t>28/10/2020</t>
  </si>
  <si>
    <t>29/10/2020</t>
  </si>
  <si>
    <t>30/10/2020</t>
  </si>
  <si>
    <t>Công ty ĐT Viễn Thông Vinamax</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</si>
  <si>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</si>
  <si>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</si>
  <si>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</si>
  <si>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</si>
  <si>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</si>
  <si>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</si>
  <si>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</si>
  <si>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</si>
  <si>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</si>
  <si>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</si>
  <si>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</si>
  <si>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Tháng</t>
  </si>
  <si>
    <t>Bộ</t>
  </si>
  <si>
    <t>01/01/2020</t>
  </si>
  <si>
    <t>31/12/2020</t>
  </si>
  <si>
    <t>Rút tiền gửi ngân hàng nhập quỹ tiền mặt</t>
  </si>
  <si>
    <t>Chi phí ký kết hợp đồng liên doanh</t>
  </si>
  <si>
    <t>Thuế GTGT được khấu trừ</t>
  </si>
  <si>
    <t>Chi tạm ứng Nguyễn Minh Ngân</t>
  </si>
  <si>
    <t>Chi cước phí đường bộ</t>
  </si>
  <si>
    <t>Chi thanh toán lương cho CNV tháng 09/2019</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</si>
  <si>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</si>
  <si>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</si>
  <si>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</si>
  <si>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</si>
  <si>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</si>
  <si>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</si>
  <si>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</si>
  <si>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</si>
  <si>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</si>
  <si>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</si>
  <si>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</si>
  <si>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</si>
  <si>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</si>
  <si>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</si>
  <si>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</si>
  <si>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</si>
  <si>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</si>
  <si>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</si>
  <si>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</si>
  <si>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</si>
  <si>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</si>
  <si>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</si>
  <si>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</si>
  <si>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</si>
  <si>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</si>
  <si>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</si>
  <si>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</si>
  <si>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</si>
  <si>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</si>
  <si>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</si>
  <si>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</si>
  <si>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</si>
  <si>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</si>
  <si>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</si>
  <si>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</si>
  <si>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</si>
  <si>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</si>
  <si>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</si>
  <si>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</si>
  <si>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</si>
  <si>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</si>
  <si>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</si>
  <si>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</si>
  <si>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</si>
  <si>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</si>
  <si>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</si>
  <si>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</si>
  <si>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</si>
  <si>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</si>
  <si>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</si>
  <si>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</si>
  <si>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</si>
  <si>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</si>
  <si>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</si>
  <si>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</si>
  <si>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</si>
  <si>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</si>
  <si>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</si>
  <si>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</si>
  <si>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</si>
  <si>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</si>
  <si>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</si>
  <si>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</si>
  <si>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</si>
  <si>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</si>
  <si>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</si>
  <si>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</si>
  <si>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</si>
  <si>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</si>
  <si>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</si>
  <si>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</si>
  <si>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</si>
  <si>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</si>
  <si>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</si>
  <si>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</si>
  <si>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</si>
  <si>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</si>
  <si>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</si>
  <si>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</si>
  <si>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</si>
  <si>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</si>
  <si>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</si>
  <si>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</si>
  <si>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</si>
  <si>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</si>
  <si>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</si>
  <si>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</si>
  <si>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</si>
  <si>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</si>
  <si>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</si>
  <si>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</si>
  <si>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</si>
  <si>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</si>
  <si>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</si>
  <si>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</si>
  <si>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</si>
  <si>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</si>
  <si>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</si>
  <si>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</si>
  <si>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</si>
  <si>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</si>
  <si>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</si>
  <si>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</si>
  <si>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</si>
  <si>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</si>
  <si>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</si>
  <si>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</si>
  <si>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</si>
  <si>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</si>
  <si>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</si>
  <si>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</si>
  <si>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</si>
  <si>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</si>
  <si>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</si>
  <si>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</si>
  <si>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</si>
  <si>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</si>
  <si>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</si>
  <si>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</si>
  <si>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</si>
  <si>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</si>
  <si>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</si>
  <si>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</si>
  <si>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</si>
  <si>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</si>
  <si>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</si>
  <si>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</si>
  <si>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</si>
  <si>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</si>
  <si>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</si>
  <si>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</si>
  <si>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</si>
  <si>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</si>
  <si>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</si>
  <si>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</si>
  <si>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</si>
  <si>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</si>
  <si>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</si>
  <si>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</si>
  <si>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</si>
  <si>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</si>
  <si>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</si>
  <si>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</si>
  <si>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</si>
  <si>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</si>
  <si>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</si>
  <si>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</si>
  <si>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</si>
  <si>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</si>
  <si>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</si>
  <si>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</si>
  <si>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</si>
  <si>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</si>
  <si>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</si>
  <si>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</si>
  <si>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</si>
  <si>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</si>
  <si>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</si>
  <si>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</si>
  <si>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</si>
  <si>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</si>
  <si>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</si>
  <si>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</si>
  <si>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</si>
  <si>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</si>
  <si>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</si>
  <si>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</si>
  <si>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</si>
  <si>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</si>
  <si>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</si>
  <si>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</si>
  <si>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</si>
  <si>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</si>
  <si>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</si>
  <si>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</si>
  <si>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</si>
  <si>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</si>
  <si>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</si>
  <si>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</si>
  <si>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</si>
  <si>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</si>
  <si>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</si>
  <si>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</si>
  <si>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</si>
  <si>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</si>
  <si>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</si>
  <si>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</si>
  <si>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</si>
  <si>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</si>
  <si>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</si>
  <si>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</si>
  <si>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</si>
  <si>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</si>
  <si>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</si>
  <si>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</si>
  <si>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</si>
  <si>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</si>
  <si>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</si>
  <si>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</si>
  <si>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</si>
  <si>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</si>
  <si>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</si>
  <si>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</si>
  <si>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</si>
  <si>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</si>
  <si>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</si>
  <si>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</si>
  <si>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</si>
  <si>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</si>
  <si>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</si>
  <si>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</si>
  <si>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</si>
  <si>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</si>
  <si>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</si>
  <si>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</si>
  <si>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</si>
  <si>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Mã đề: EXHK20219</t>
  </si>
  <si>
    <t>Lập bảng phân bổ chi phí trả trước 242</t>
  </si>
  <si>
    <t>Lập bảng tổng hợp nhập xuất tồn 152</t>
  </si>
  <si>
    <t>Lập sổ chi phí sản xuất kinh doanh 642 theo yếu tố</t>
  </si>
  <si>
    <t>3đ</t>
  </si>
  <si>
    <t>4đ</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</si>
  <si>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</si>
  <si>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</si>
  <si>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</si>
  <si>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</si>
  <si>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</si>
  <si>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2421.004</t>
  </si>
  <si>
    <t>Chi phí trả trước ngắn hạn - Thuê VP, cửa hàng</t>
  </si>
  <si>
    <t>HÌNH THỨC THI: ONLINE</t>
  </si>
  <si>
    <r>
      <rPr>
        <b/>
        <i/>
        <u val="single"/>
        <sz val="12"/>
        <color indexed="10"/>
        <rFont val="Times New Roman"/>
        <family val="1"/>
      </rPr>
      <t>Lưu ý dành cho CB chấm thi:</t>
    </r>
    <r>
      <rPr>
        <b/>
        <i/>
        <sz val="12"/>
        <color indexed="10"/>
        <rFont val="Times New Roman"/>
        <family val="1"/>
      </rPr>
      <t xml:space="preserve"> SV có thể sử dụng các cách làm khác nhau miễn kết quả là đúng</t>
    </r>
  </si>
  <si>
    <t>như đáp án, dưới đây chỉ là một trong các cách làm dùng làm đáp án tham khảo.</t>
  </si>
  <si>
    <t>Mục</t>
  </si>
  <si>
    <t>Thang điểm</t>
  </si>
  <si>
    <t>TỔNG</t>
  </si>
  <si>
    <t>Số hiệu: [1]</t>
  </si>
  <si>
    <t>Tổng cộng: [2] - [11]</t>
  </si>
  <si>
    <t>SUM(F14:F340)</t>
  </si>
  <si>
    <t>Ngày ghi sổ, Ngày chứng từ, Diễn giải: [12], [14], [15]</t>
  </si>
  <si>
    <t>Ngày ghi sổ: IF($F14+$P14&lt;&gt;0,'CHUNG TU'!A5,"")
Ngày chứng từ: thay A5 bằng cột F5; Diễn giải: thay A5 bằng cột H5</t>
  </si>
  <si>
    <t>Số Chứng từ: [13]</t>
  </si>
  <si>
    <t>IF($F14+$P14&lt;&gt;0,IF('CHUNG TU'!B5&lt;&gt;"",'CHUNG TU'!B5,IF('CHUNG TU'!C5&lt;&gt;"",'CHUNG TU'!C5,'CHUNG TU'!D5)),"")</t>
  </si>
  <si>
    <t>CHIA RA: [17] - [24]</t>
  </si>
  <si>
    <t>IF(G$10='CHUNG TU'!$I5,'CHUNG TU'!$L5,0)</t>
  </si>
  <si>
    <t>TÀI KHOẢN ĐỐI ỨNG: [25]</t>
  </si>
  <si>
    <t>IF(F14&lt;&gt;0,'CHUNG TU'!J5,"")</t>
  </si>
  <si>
    <t>IF(P14&lt;&gt;0,'CHUNG TU'!I5,"")</t>
  </si>
  <si>
    <t>Sao chép dữ liệu xuống tới dòng 340 và lọc lại dữ liệu</t>
  </si>
  <si>
    <t>MÃ ĐỀ: EXHK20219</t>
  </si>
  <si>
    <t>CÂU 3: Lập sổ chi phí sản xuất kinh doanh 642 theo yếu tố (4đ)</t>
  </si>
  <si>
    <t>Mã hàng và Tên vật liệu, Đơn vị tính</t>
  </si>
  <si>
    <t>Số dư đầu kỳ: [1], [2]</t>
  </si>
  <si>
    <t>Nhập trong kỳ: [3], [4]</t>
  </si>
  <si>
    <t>Xuất trong kỳ: [5], [6]</t>
  </si>
  <si>
    <t>Tồn cuối kỳ: [7], [8], [9]</t>
  </si>
  <si>
    <t>SL: E12+G12-I12
Thành tiền: F12+H12-J12
Đơn giá: IFERROR(L12/K12,0)</t>
  </si>
  <si>
    <t>SUM(F12:F13)</t>
  </si>
  <si>
    <t>CÂU 2: Lập bảng tổng hợp nhập xuất tồn 152 (3đ)</t>
  </si>
  <si>
    <t>CÂU 1: Lập bảng phân bổ chi phí trả trước 242 (3đ)</t>
  </si>
  <si>
    <t>Mức phân bổ tháng</t>
  </si>
  <si>
    <t>H11/I11</t>
  </si>
  <si>
    <t>Giá trị phân bổ tháng này</t>
  </si>
  <si>
    <t>J11</t>
  </si>
  <si>
    <t>Giá trị phân bổ lũy kế</t>
  </si>
  <si>
    <t>K11+L11</t>
  </si>
  <si>
    <t>Giá trị còn lại</t>
  </si>
  <si>
    <t>H11-M11</t>
  </si>
  <si>
    <t>Theo cột Tài khoản CP bên Sheet "Phân bổ CPTT"</t>
  </si>
  <si>
    <t>Theo cột Tài khoản chờ PB bên Sheet "Phân bổ CPTT"</t>
  </si>
  <si>
    <t>Sử dụng số hiệu: 642</t>
  </si>
  <si>
    <t>GHI NỢ TK 642: [16]</t>
  </si>
  <si>
    <t>GHI CÓ TK 642 (Số tiền): [26]</t>
  </si>
  <si>
    <t>GHI CÓ TK 642 (TK đối ứng): [27]</t>
  </si>
  <si>
    <t>642</t>
  </si>
  <si>
    <t>Mã hàng: Copy các tài khoản của 155 dán qua
Tên vật liệu: VLOOKUP($C12,BDMTK,2,0)
ĐVT: VLOOKUP($C12,BDMTK,4,0)</t>
  </si>
  <si>
    <t>SL: VLOOKUP($C12,BDMTK,5,0)
Thành tiền: VLOOKUP($C12,BDMTK,6,0)</t>
  </si>
  <si>
    <t>SL: SUMIF('CHUNG TU'!$I$5:$I$331,$C12,'CHUNG TU'!$K$5:$K$331)
Thành tiền: SUMIF('CHUNG TU'!$I$5:$I$331,$C12,'CHUNG TU'!$L$5:$L$331)</t>
  </si>
  <si>
    <t>SL: SUMIF('CHUNG TU'!$J$5:$J$331,$C12,'CHUNG TU'!$K$5:$K$331)
Thành tiền: SUMIF('CHUNG TU'!$J$5:$J$331,$C12,'CHUNG TU'!$L$5:$L$331)</t>
  </si>
  <si>
    <t>IF(LEFT('CHUNG TU'!I5,3)='CPSXKD 642_yếu tố'!$H$7,'CHUNG TU'!$L5,0)</t>
  </si>
  <si>
    <t>IF(LEFT('CHUNG TU'!J5,3)='CPSXKD 642_yếu tố'!$H$7,'CHUNG TU'!$L5,0)</t>
  </si>
  <si>
    <t>THI KẾT THÚC HỌC PHẦN - NH 2021 - 2022</t>
  </si>
  <si>
    <t>MÔN: MS-EXCEL TRONG KẾ TOÁN</t>
  </si>
  <si>
    <t>LỚP: K24KTĐB - [Thời gian: 60 phút]</t>
  </si>
  <si>
    <t xml:space="preserve">THANG ĐIỂM ĐỀ THI CUỐI KỲ MÔN MS-EXCEL TRONG KẾ TOÁN </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</si>
</sst>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dd/mm/yyyy"/>
    <numFmt numFmtId="218" formatCode="[$-409]dddd\,\ mmmm\ d\,\ yyyy"/>
    <numFmt numFmtId="219" formatCode="[$-409]h:mm:ss\ AM/PM"/>
    <numFmt numFmtId="220" formatCode="[$-F800]dddd\,\ mmmm\ dd\,\ yyyy"/>
    <numFmt numFmtId="221" formatCode="0#"/>
  </numFmts>
  <fonts count="134">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1"/>
      <name val="Arial"/>
      <family val="2"/>
    </font>
    <font>
      <b/>
      <sz val="12"/>
      <color indexed="12"/>
      <name val="Arial"/>
      <family val="2"/>
    </font>
    <font>
      <sz val="12"/>
      <color indexed="12"/>
      <name val="Arial"/>
      <family val="2"/>
    </font>
    <font>
      <sz val="9"/>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b/>
      <sz val="16"/>
      <color indexed="10"/>
      <name val="Arial"/>
      <family val="2"/>
    </font>
    <font>
      <b/>
      <sz val="14"/>
      <name val="Times New Roman"/>
      <family val="1"/>
    </font>
    <font>
      <sz val="14"/>
      <name val="Times New Roman"/>
      <family val="1"/>
    </font>
    <font>
      <b/>
      <u val="single"/>
      <sz val="14"/>
      <name val="Times New Roman"/>
      <family val="1"/>
    </font>
    <font>
      <sz val="8"/>
      <name val="Arial"/>
      <family val="2"/>
    </font>
    <font>
      <b/>
      <sz val="9"/>
      <name val="Tahoma"/>
      <family val="2"/>
    </font>
    <font>
      <sz val="9"/>
      <name val="Tahoma"/>
      <family val="2"/>
    </font>
    <font>
      <b/>
      <sz val="14"/>
      <color indexed="10"/>
      <name val="Times New Roman"/>
      <family val="1"/>
    </font>
    <font>
      <b/>
      <u val="single"/>
      <sz val="14"/>
      <color indexed="10"/>
      <name val="Times New Roman"/>
      <family val="1"/>
    </font>
    <font>
      <b/>
      <i/>
      <u val="single"/>
      <sz val="12"/>
      <color indexed="10"/>
      <name val="Times New Roman"/>
      <family val="1"/>
    </font>
    <font>
      <b/>
      <i/>
      <sz val="12"/>
      <color indexed="10"/>
      <name val="Times New Roman"/>
      <family val="1"/>
    </font>
    <font>
      <b/>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4"/>
      <color indexed="17"/>
      <name val="Times New Roman"/>
      <family val="1"/>
    </font>
    <font>
      <sz val="12"/>
      <color indexed="8"/>
      <name val="Times New Roman"/>
      <family val="1"/>
    </font>
    <font>
      <sz val="11"/>
      <color indexed="8"/>
      <name val="Times New Roman"/>
      <family val="1"/>
    </font>
    <font>
      <sz val="10"/>
      <color indexed="8"/>
      <name val="Times New Roman"/>
      <family val="1"/>
    </font>
    <font>
      <sz val="10"/>
      <color indexed="8"/>
      <name val="Arial"/>
      <family val="2"/>
    </font>
    <font>
      <b/>
      <u val="single"/>
      <sz val="12"/>
      <color indexed="10"/>
      <name val="Times New Roman"/>
      <family val="1"/>
    </font>
    <font>
      <b/>
      <u val="singleAccounting"/>
      <sz val="12"/>
      <color indexed="10"/>
      <name val="Times New Roman"/>
      <family val="1"/>
    </font>
    <font>
      <b/>
      <sz val="12"/>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b/>
      <sz val="10"/>
      <color indexed="8"/>
      <name val="Arial"/>
      <family val="2"/>
    </font>
    <font>
      <b/>
      <sz val="10"/>
      <color indexed="10"/>
      <name val="Arial"/>
      <family val="2"/>
    </font>
    <font>
      <sz val="14"/>
      <color indexed="9"/>
      <name val="Times New Roman"/>
      <family val="1"/>
    </font>
    <font>
      <b/>
      <sz val="13"/>
      <color indexed="10"/>
      <name val="Times New Roman"/>
      <family val="1"/>
    </font>
    <font>
      <sz val="14"/>
      <color indexed="10"/>
      <name val="Times New Roman"/>
      <family val="1"/>
    </font>
    <font>
      <b/>
      <sz val="14"/>
      <color indexed="36"/>
      <name val="Times New Roman"/>
      <family val="1"/>
    </font>
    <font>
      <b/>
      <sz val="14"/>
      <color indexed="59"/>
      <name val="Times New Roman"/>
      <family val="1"/>
    </font>
    <font>
      <b/>
      <sz val="20"/>
      <color indexed="10"/>
      <name val="Times New Roman"/>
      <family val="1"/>
    </font>
    <font>
      <b/>
      <sz val="16"/>
      <color indexed="8"/>
      <name val="Times New Roman"/>
      <family val="1"/>
    </font>
    <font>
      <b/>
      <sz val="14"/>
      <color indexed="8"/>
      <name val="Times New Roman"/>
      <family val="1"/>
    </font>
    <font>
      <sz val="12"/>
      <color indexed="10"/>
      <name val="Times New Roman"/>
      <family val="1"/>
    </font>
    <font>
      <b/>
      <sz val="12"/>
      <color indexed="10"/>
      <name val="Times New Roman"/>
      <family val="1"/>
    </font>
    <font>
      <b/>
      <u val="single"/>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b/>
      <sz val="14"/>
      <color rgb="FF00B050"/>
      <name val="Times New Roman"/>
      <family val="1"/>
    </font>
    <font>
      <sz val="12"/>
      <color theme="1"/>
      <name val="Times New Roman"/>
      <family val="1"/>
    </font>
    <font>
      <sz val="11"/>
      <color theme="1"/>
      <name val="Times New Roman"/>
      <family val="1"/>
    </font>
    <font>
      <sz val="10"/>
      <color theme="1"/>
      <name val="Times New Roman"/>
      <family val="1"/>
    </font>
    <font>
      <sz val="10"/>
      <color theme="1"/>
      <name val="Arial"/>
      <family val="2"/>
    </font>
    <font>
      <b/>
      <sz val="10"/>
      <color rgb="FF0000FF"/>
      <name val="Arial"/>
      <family val="2"/>
    </font>
    <font>
      <sz val="12"/>
      <color rgb="FF000000"/>
      <name val="Times New Roman"/>
      <family val="1"/>
    </font>
    <font>
      <b/>
      <u val="single"/>
      <sz val="12"/>
      <color rgb="FFFF0000"/>
      <name val="Times New Roman"/>
      <family val="1"/>
    </font>
    <font>
      <b/>
      <u val="singleAccounting"/>
      <sz val="12"/>
      <color rgb="FFFF0000"/>
      <name val="Times New Roman"/>
      <family val="1"/>
    </font>
    <font>
      <sz val="10"/>
      <color rgb="FF0000FF"/>
      <name val="Arial"/>
      <family val="2"/>
    </font>
    <font>
      <b/>
      <sz val="12"/>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b/>
      <sz val="10"/>
      <color theme="1"/>
      <name val="Arial"/>
      <family val="2"/>
    </font>
    <font>
      <b/>
      <sz val="10"/>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b/>
      <i/>
      <sz val="12"/>
      <color rgb="FFFF0000"/>
      <name val="Times New Roman"/>
      <family val="1"/>
    </font>
    <font>
      <sz val="12"/>
      <color rgb="FFFF0000"/>
      <name val="Times New Roman"/>
      <family val="1"/>
    </font>
    <font>
      <b/>
      <sz val="12"/>
      <color rgb="FFFF0000"/>
      <name val="Times New Roman"/>
      <family val="1"/>
    </font>
    <font>
      <b/>
      <sz val="14"/>
      <color rgb="FF7030A0"/>
      <name val="Times New Roman"/>
      <family val="1"/>
    </font>
    <font>
      <b/>
      <sz val="14"/>
      <color theme="2" tint="-0.8999800086021423"/>
      <name val="Times New Roman"/>
      <family val="1"/>
    </font>
    <font>
      <b/>
      <sz val="20"/>
      <color rgb="FFFF0000"/>
      <name val="Times New Roman"/>
      <family val="1"/>
    </font>
    <font>
      <b/>
      <sz val="16"/>
      <color theme="1"/>
      <name val="Times New Roman"/>
      <family val="1"/>
    </font>
    <font>
      <b/>
      <sz val="14"/>
      <color theme="1"/>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0"/>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rgb="FFC0C0C0"/>
        <bgColor indexed="64"/>
      </patternFill>
    </fill>
    <fill>
      <patternFill patternType="solid">
        <fgColor indexed="42"/>
        <bgColor indexed="64"/>
      </patternFill>
    </fill>
    <fill>
      <patternFill patternType="solid">
        <fgColor rgb="FFFFC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color indexed="63"/>
      </left>
      <right>
        <color indexed="63"/>
      </right>
      <top style="thin"/>
      <bottom>
        <color indexed="63"/>
      </bottom>
    </border>
    <border>
      <left/>
      <right/>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8" fillId="0" borderId="0" applyFont="0" applyFill="0" applyBorder="0" applyAlignment="0" applyProtection="0"/>
    <xf numFmtId="43" fontId="93"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94"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95"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96" fillId="0" borderId="5" applyNumberFormat="0" applyFill="0" applyAlignment="0" applyProtection="0"/>
    <xf numFmtId="0" fontId="96"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172" fontId="6" fillId="0" borderId="0">
      <alignment/>
      <protection/>
    </xf>
    <xf numFmtId="0" fontId="93"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102"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261">
    <xf numFmtId="0" fontId="0" fillId="0" borderId="0" xfId="0" applyAlignment="1">
      <alignment/>
    </xf>
    <xf numFmtId="173" fontId="0" fillId="0" borderId="10" xfId="0" applyNumberFormat="1" applyFont="1" applyBorder="1" applyAlignment="1">
      <alignment/>
    </xf>
    <xf numFmtId="0" fontId="17" fillId="0" borderId="0" xfId="0" applyFont="1" applyAlignment="1">
      <alignment/>
    </xf>
    <xf numFmtId="0" fontId="17" fillId="0" borderId="0" xfId="0" applyFont="1" applyAlignment="1">
      <alignment/>
    </xf>
    <xf numFmtId="0" fontId="16" fillId="33" borderId="10" xfId="0" applyFont="1" applyFill="1" applyBorder="1" applyAlignment="1">
      <alignment horizontal="center"/>
    </xf>
    <xf numFmtId="0" fontId="16" fillId="33" borderId="10" xfId="0" applyFont="1" applyFill="1" applyBorder="1" applyAlignment="1">
      <alignment horizontal="center" vertical="center" wrapText="1"/>
    </xf>
    <xf numFmtId="0" fontId="21" fillId="0" borderId="11" xfId="0" applyFont="1" applyBorder="1" applyAlignment="1">
      <alignment horizontal="center" vertical="center" wrapText="1"/>
    </xf>
    <xf numFmtId="0" fontId="20" fillId="0" borderId="10" xfId="0" applyFont="1" applyBorder="1" applyAlignment="1">
      <alignment horizontal="center"/>
    </xf>
    <xf numFmtId="0" fontId="21" fillId="0" borderId="10" xfId="0" applyFont="1" applyBorder="1" applyAlignment="1">
      <alignment horizontal="center" vertical="center" wrapText="1"/>
    </xf>
    <xf numFmtId="0" fontId="20" fillId="34" borderId="10" xfId="0" applyFont="1" applyFill="1" applyBorder="1" applyAlignment="1">
      <alignment horizontal="center" vertical="center" wrapText="1"/>
    </xf>
    <xf numFmtId="0" fontId="26" fillId="0" borderId="0" xfId="0" applyFont="1" applyAlignment="1">
      <alignment/>
    </xf>
    <xf numFmtId="0" fontId="27" fillId="0" borderId="0" xfId="0" applyFont="1" applyAlignment="1">
      <alignment horizontal="center"/>
    </xf>
    <xf numFmtId="0" fontId="26" fillId="0" borderId="0" xfId="0" applyFont="1" applyAlignment="1">
      <alignment horizontal="center"/>
    </xf>
    <xf numFmtId="0" fontId="26" fillId="0" borderId="0" xfId="0" applyFont="1" applyAlignment="1">
      <alignment/>
    </xf>
    <xf numFmtId="0" fontId="26" fillId="0" borderId="0" xfId="0" applyFont="1" applyAlignment="1" quotePrefix="1">
      <alignment/>
    </xf>
    <xf numFmtId="0" fontId="19" fillId="0" borderId="0" xfId="0" applyFont="1" applyAlignment="1">
      <alignment/>
    </xf>
    <xf numFmtId="0" fontId="29" fillId="35" borderId="10" xfId="0" applyFont="1" applyFill="1" applyBorder="1" applyAlignment="1" applyProtection="1">
      <alignment horizontal="center" vertical="center"/>
      <protection/>
    </xf>
    <xf numFmtId="0" fontId="29" fillId="36" borderId="10" xfId="0" applyFont="1" applyFill="1" applyBorder="1" applyAlignment="1" applyProtection="1">
      <alignment vertical="center"/>
      <protection/>
    </xf>
    <xf numFmtId="49" fontId="30" fillId="36" borderId="10" xfId="0" applyNumberFormat="1" applyFont="1" applyFill="1" applyBorder="1" applyAlignment="1" applyProtection="1">
      <alignment horizontal="left" vertical="center"/>
      <protection locked="0"/>
    </xf>
    <xf numFmtId="0" fontId="30" fillId="36" borderId="0" xfId="0" applyFont="1" applyFill="1" applyAlignment="1" applyProtection="1">
      <alignment vertical="center"/>
      <protection/>
    </xf>
    <xf numFmtId="0" fontId="29" fillId="35" borderId="10" xfId="0" applyFont="1" applyFill="1" applyBorder="1" applyAlignment="1" applyProtection="1">
      <alignment horizontal="center" vertical="center"/>
      <protection locked="0"/>
    </xf>
    <xf numFmtId="0" fontId="29" fillId="36" borderId="10" xfId="0" applyFont="1" applyFill="1" applyBorder="1" applyAlignment="1" applyProtection="1">
      <alignment horizontal="center" vertical="center"/>
      <protection/>
    </xf>
    <xf numFmtId="0" fontId="29" fillId="36" borderId="10" xfId="0" applyFont="1" applyFill="1" applyBorder="1" applyAlignment="1" applyProtection="1">
      <alignment horizontal="center" vertical="center"/>
      <protection locked="0"/>
    </xf>
    <xf numFmtId="0" fontId="29" fillId="36" borderId="10" xfId="0" applyFont="1" applyFill="1" applyBorder="1" applyAlignment="1" applyProtection="1">
      <alignment horizontal="left" vertical="center"/>
      <protection/>
    </xf>
    <xf numFmtId="0" fontId="17" fillId="37" borderId="0" xfId="0" applyFont="1" applyFill="1" applyAlignment="1">
      <alignment/>
    </xf>
    <xf numFmtId="175" fontId="27" fillId="0" borderId="0" xfId="42" applyNumberFormat="1" applyFont="1" applyAlignment="1">
      <alignment horizontal="center"/>
    </xf>
    <xf numFmtId="175" fontId="0" fillId="0" borderId="0" xfId="42" applyNumberFormat="1" applyFont="1" applyAlignment="1">
      <alignment/>
    </xf>
    <xf numFmtId="175" fontId="27" fillId="0" borderId="0" xfId="42" applyNumberFormat="1" applyFont="1" applyAlignment="1">
      <alignment/>
    </xf>
    <xf numFmtId="175" fontId="26" fillId="0" borderId="0" xfId="42" applyNumberFormat="1" applyFont="1" applyAlignment="1">
      <alignment horizontal="center"/>
    </xf>
    <xf numFmtId="175" fontId="26" fillId="0" borderId="0" xfId="42" applyNumberFormat="1" applyFont="1" applyAlignment="1">
      <alignment/>
    </xf>
    <xf numFmtId="175" fontId="17" fillId="0" borderId="0" xfId="42" applyNumberFormat="1" applyFont="1" applyAlignment="1">
      <alignment/>
    </xf>
    <xf numFmtId="3" fontId="24" fillId="0" borderId="10" xfId="42" applyNumberFormat="1" applyFont="1" applyFill="1" applyBorder="1" applyAlignment="1">
      <alignment/>
    </xf>
    <xf numFmtId="175" fontId="21" fillId="0" borderId="10" xfId="42" applyNumberFormat="1" applyFont="1" applyBorder="1" applyAlignment="1">
      <alignment horizontal="center"/>
    </xf>
    <xf numFmtId="0" fontId="0" fillId="37" borderId="10" xfId="0" applyFont="1" applyFill="1" applyBorder="1" applyAlignment="1">
      <alignment horizontal="center"/>
    </xf>
    <xf numFmtId="175" fontId="20" fillId="38" borderId="11" xfId="42" applyNumberFormat="1" applyFont="1" applyFill="1" applyBorder="1" applyAlignment="1">
      <alignment horizontal="center" vertical="center" wrapText="1"/>
    </xf>
    <xf numFmtId="175" fontId="17" fillId="0" borderId="0" xfId="42" applyNumberFormat="1" applyFont="1" applyAlignment="1">
      <alignment/>
    </xf>
    <xf numFmtId="14" fontId="29" fillId="36" borderId="10" xfId="0" applyNumberFormat="1" applyFont="1" applyFill="1" applyBorder="1" applyAlignment="1" applyProtection="1" quotePrefix="1">
      <alignment horizontal="center" vertical="center"/>
      <protection locked="0"/>
    </xf>
    <xf numFmtId="0" fontId="18" fillId="0" borderId="0" xfId="0" applyFont="1" applyAlignment="1">
      <alignment/>
    </xf>
    <xf numFmtId="221" fontId="0" fillId="0" borderId="10" xfId="0" applyNumberFormat="1" applyBorder="1" applyAlignment="1">
      <alignment horizontal="center"/>
    </xf>
    <xf numFmtId="0" fontId="34" fillId="0" borderId="0" xfId="0" applyFont="1" applyAlignment="1">
      <alignment vertical="center"/>
    </xf>
    <xf numFmtId="0" fontId="35" fillId="0" borderId="0" xfId="0" applyFont="1" applyAlignment="1">
      <alignment/>
    </xf>
    <xf numFmtId="0" fontId="35"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vertical="center"/>
    </xf>
    <xf numFmtId="0" fontId="36" fillId="37" borderId="0" xfId="0" applyFont="1" applyFill="1" applyAlignment="1">
      <alignment/>
    </xf>
    <xf numFmtId="0" fontId="35" fillId="0" borderId="0" xfId="0" applyFont="1" applyAlignment="1">
      <alignment horizontal="center"/>
    </xf>
    <xf numFmtId="0" fontId="103" fillId="0" borderId="0" xfId="0" applyFont="1" applyAlignment="1">
      <alignment horizontal="center"/>
    </xf>
    <xf numFmtId="0" fontId="7" fillId="0" borderId="0" xfId="0" applyFont="1" applyAlignment="1">
      <alignment/>
    </xf>
    <xf numFmtId="49" fontId="30" fillId="36" borderId="10" xfId="0" applyNumberFormat="1" applyFont="1" applyFill="1" applyBorder="1" applyAlignment="1" applyProtection="1" quotePrefix="1">
      <alignment horizontal="left" vertical="center"/>
      <protection locked="0"/>
    </xf>
    <xf numFmtId="0" fontId="29" fillId="36" borderId="0" xfId="0" applyFont="1" applyFill="1" applyBorder="1" applyAlignment="1" applyProtection="1">
      <alignment vertical="center"/>
      <protection/>
    </xf>
    <xf numFmtId="49" fontId="30" fillId="36" borderId="0" xfId="0" applyNumberFormat="1" applyFont="1" applyFill="1" applyBorder="1" applyAlignment="1" applyProtection="1">
      <alignment horizontal="left" vertical="center"/>
      <protection locked="0"/>
    </xf>
    <xf numFmtId="0" fontId="34" fillId="18" borderId="10" xfId="0" applyFont="1" applyFill="1" applyBorder="1" applyAlignment="1">
      <alignment/>
    </xf>
    <xf numFmtId="0" fontId="34" fillId="19" borderId="10" xfId="0" applyFont="1" applyFill="1" applyBorder="1" applyAlignment="1">
      <alignment horizontal="center"/>
    </xf>
    <xf numFmtId="0" fontId="17" fillId="11" borderId="11"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04" fillId="0" borderId="0" xfId="0" applyFont="1" applyAlignment="1">
      <alignment/>
    </xf>
    <xf numFmtId="49" fontId="105" fillId="0" borderId="0" xfId="0" applyNumberFormat="1" applyFont="1" applyAlignment="1">
      <alignment/>
    </xf>
    <xf numFmtId="0" fontId="106" fillId="0" borderId="0" xfId="0" applyFont="1" applyAlignment="1">
      <alignment/>
    </xf>
    <xf numFmtId="0" fontId="107" fillId="0" borderId="0" xfId="0" applyFont="1" applyAlignment="1">
      <alignment/>
    </xf>
    <xf numFmtId="0" fontId="0" fillId="0" borderId="0" xfId="0" applyFont="1" applyAlignment="1">
      <alignment/>
    </xf>
    <xf numFmtId="0" fontId="108" fillId="0" borderId="14" xfId="0" applyFont="1" applyBorder="1" applyAlignment="1">
      <alignment horizontal="center" vertical="center"/>
    </xf>
    <xf numFmtId="0" fontId="104" fillId="0" borderId="10" xfId="0" applyFont="1" applyBorder="1" applyAlignment="1" quotePrefix="1">
      <alignment horizontal="center" vertical="center"/>
    </xf>
    <xf numFmtId="0" fontId="104" fillId="0" borderId="10" xfId="0" applyFont="1" applyBorder="1" applyAlignment="1">
      <alignment horizontal="center" vertical="center"/>
    </xf>
    <xf numFmtId="14" fontId="109" fillId="0" borderId="10" xfId="0" applyNumberFormat="1" applyFont="1" applyBorder="1" applyAlignment="1">
      <alignment horizontal="center" vertical="center"/>
    </xf>
    <xf numFmtId="210" fontId="109" fillId="0" borderId="10" xfId="42" applyNumberFormat="1" applyFont="1" applyBorder="1" applyAlignment="1">
      <alignment horizontal="center" vertical="center"/>
    </xf>
    <xf numFmtId="0" fontId="107" fillId="0" borderId="14" xfId="0" applyFont="1" applyBorder="1" applyAlignment="1">
      <alignment/>
    </xf>
    <xf numFmtId="0" fontId="107" fillId="0" borderId="15" xfId="0" applyFont="1" applyBorder="1" applyAlignment="1">
      <alignment/>
    </xf>
    <xf numFmtId="0" fontId="110" fillId="0" borderId="15" xfId="0" applyFont="1" applyBorder="1" applyAlignment="1">
      <alignment vertical="center"/>
    </xf>
    <xf numFmtId="14" fontId="104" fillId="0" borderId="15" xfId="0" applyNumberFormat="1" applyFont="1" applyBorder="1" applyAlignment="1">
      <alignment horizontal="center" vertical="center" wrapText="1"/>
    </xf>
    <xf numFmtId="175" fontId="111" fillId="0" borderId="15" xfId="0" applyNumberFormat="1" applyFont="1" applyBorder="1" applyAlignment="1">
      <alignment vertical="center"/>
    </xf>
    <xf numFmtId="49" fontId="104" fillId="0" borderId="14" xfId="0" applyNumberFormat="1" applyFont="1" applyBorder="1" applyAlignment="1">
      <alignment/>
    </xf>
    <xf numFmtId="16" fontId="107" fillId="0" borderId="14" xfId="0" applyNumberFormat="1" applyFont="1" applyBorder="1" applyAlignment="1">
      <alignment/>
    </xf>
    <xf numFmtId="0" fontId="112" fillId="0" borderId="10" xfId="0" applyFont="1" applyBorder="1" applyAlignment="1">
      <alignment horizontal="center" vertical="center"/>
    </xf>
    <xf numFmtId="0" fontId="112" fillId="0" borderId="0" xfId="0" applyFont="1" applyAlignment="1">
      <alignment horizontal="center" vertical="center"/>
    </xf>
    <xf numFmtId="0" fontId="107" fillId="0" borderId="0" xfId="0" applyFont="1" applyAlignment="1">
      <alignment horizontal="center" vertical="center"/>
    </xf>
    <xf numFmtId="0" fontId="104" fillId="0" borderId="0" xfId="0" applyFont="1" applyAlignment="1">
      <alignment horizontal="center" vertical="center"/>
    </xf>
    <xf numFmtId="0" fontId="104" fillId="0" borderId="0" xfId="0" applyFont="1" applyAlignment="1">
      <alignment horizontal="left"/>
    </xf>
    <xf numFmtId="49" fontId="113" fillId="0" borderId="0" xfId="0" applyNumberFormat="1" applyFont="1" applyAlignment="1">
      <alignment horizontal="center"/>
    </xf>
    <xf numFmtId="49" fontId="113" fillId="0" borderId="0" xfId="0" applyNumberFormat="1" applyFont="1" applyAlignment="1">
      <alignment horizontal="center" vertical="center"/>
    </xf>
    <xf numFmtId="0" fontId="113" fillId="0" borderId="0" xfId="0" applyFont="1" applyAlignment="1">
      <alignment horizontal="center" vertical="center"/>
    </xf>
    <xf numFmtId="0" fontId="113" fillId="0" borderId="0" xfId="0" applyFont="1" applyAlignment="1">
      <alignment/>
    </xf>
    <xf numFmtId="0" fontId="113" fillId="0" borderId="0" xfId="0" applyFont="1" applyAlignment="1">
      <alignment horizontal="center"/>
    </xf>
    <xf numFmtId="0" fontId="108" fillId="7" borderId="14" xfId="0" applyFont="1" applyFill="1" applyBorder="1" applyAlignment="1">
      <alignment horizontal="center" vertical="center"/>
    </xf>
    <xf numFmtId="0" fontId="108" fillId="7" borderId="16" xfId="0" applyFont="1" applyFill="1" applyBorder="1" applyAlignment="1">
      <alignment horizontal="center" vertical="center"/>
    </xf>
    <xf numFmtId="0" fontId="108" fillId="7" borderId="16" xfId="0" applyFont="1" applyFill="1" applyBorder="1" applyAlignment="1">
      <alignment horizontal="left" vertical="center"/>
    </xf>
    <xf numFmtId="175" fontId="104" fillId="7" borderId="15" xfId="0" applyNumberFormat="1" applyFont="1" applyFill="1" applyBorder="1" applyAlignment="1">
      <alignment vertical="center"/>
    </xf>
    <xf numFmtId="0" fontId="18" fillId="7" borderId="10" xfId="0" applyFont="1" applyFill="1" applyBorder="1" applyAlignment="1">
      <alignment horizontal="center" vertical="center"/>
    </xf>
    <xf numFmtId="0" fontId="18" fillId="7" borderId="10" xfId="0" applyFont="1" applyFill="1" applyBorder="1" applyAlignment="1">
      <alignment horizontal="left" vertical="center"/>
    </xf>
    <xf numFmtId="175" fontId="18" fillId="7" borderId="10" xfId="0" applyNumberFormat="1" applyFont="1" applyFill="1" applyBorder="1" applyAlignment="1">
      <alignment horizontal="center" vertical="center"/>
    </xf>
    <xf numFmtId="0" fontId="107" fillId="0" borderId="10" xfId="0" applyFont="1" applyBorder="1" applyAlignment="1">
      <alignment horizontal="center" vertical="center"/>
    </xf>
    <xf numFmtId="14" fontId="104" fillId="0" borderId="10" xfId="0" applyNumberFormat="1" applyFont="1" applyBorder="1" applyAlignment="1">
      <alignment horizontal="center" vertical="center"/>
    </xf>
    <xf numFmtId="175" fontId="104" fillId="0" borderId="10" xfId="42" applyNumberFormat="1" applyFont="1" applyFill="1" applyBorder="1" applyAlignment="1">
      <alignment horizontal="center" vertical="center"/>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7" borderId="10" xfId="42" applyNumberFormat="1" applyFont="1" applyFill="1" applyBorder="1" applyAlignment="1">
      <alignment/>
    </xf>
    <xf numFmtId="49" fontId="7" fillId="37" borderId="10" xfId="0" applyNumberFormat="1" applyFont="1" applyFill="1" applyBorder="1" applyAlignment="1" quotePrefix="1">
      <alignment/>
    </xf>
    <xf numFmtId="14" fontId="31" fillId="0" borderId="10" xfId="0" applyNumberFormat="1" applyFont="1" applyBorder="1" applyAlignment="1">
      <alignment/>
    </xf>
    <xf numFmtId="173" fontId="31" fillId="0" borderId="10" xfId="0" applyNumberFormat="1" applyFont="1" applyBorder="1" applyAlignment="1">
      <alignment/>
    </xf>
    <xf numFmtId="173" fontId="31" fillId="0" borderId="10" xfId="0" applyNumberFormat="1" applyFont="1" applyBorder="1" applyAlignment="1" quotePrefix="1">
      <alignment/>
    </xf>
    <xf numFmtId="49" fontId="31" fillId="37" borderId="10" xfId="0" applyNumberFormat="1" applyFont="1" applyFill="1" applyBorder="1" applyAlignment="1" quotePrefix="1">
      <alignment/>
    </xf>
    <xf numFmtId="3" fontId="31" fillId="37" borderId="10" xfId="42" applyNumberFormat="1" applyFont="1" applyFill="1" applyBorder="1" applyAlignment="1">
      <alignment/>
    </xf>
    <xf numFmtId="0" fontId="31" fillId="0" borderId="0" xfId="0" applyFont="1" applyAlignment="1">
      <alignment/>
    </xf>
    <xf numFmtId="3" fontId="106" fillId="37" borderId="10" xfId="42" applyNumberFormat="1" applyFont="1" applyFill="1" applyBorder="1" applyAlignment="1">
      <alignment/>
    </xf>
    <xf numFmtId="37" fontId="7" fillId="0" borderId="10" xfId="42" applyNumberFormat="1" applyFont="1" applyFill="1" applyBorder="1" applyAlignment="1">
      <alignment/>
    </xf>
    <xf numFmtId="3" fontId="114" fillId="37"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5" fillId="0" borderId="0" xfId="0" applyFont="1" applyAlignment="1">
      <alignment/>
    </xf>
    <xf numFmtId="0" fontId="0" fillId="0" borderId="0" xfId="0" applyAlignment="1">
      <alignment vertical="center"/>
    </xf>
    <xf numFmtId="3" fontId="115" fillId="0" borderId="10" xfId="0" applyNumberFormat="1" applyFont="1" applyBorder="1" applyAlignment="1">
      <alignment horizontal="center" vertical="center"/>
    </xf>
    <xf numFmtId="175" fontId="115" fillId="0" borderId="10" xfId="42" applyNumberFormat="1" applyFont="1" applyFill="1" applyBorder="1" applyAlignment="1">
      <alignment horizontal="center" vertical="center"/>
    </xf>
    <xf numFmtId="0" fontId="116" fillId="0" borderId="0" xfId="0" applyFont="1" applyAlignment="1">
      <alignment vertical="center"/>
    </xf>
    <xf numFmtId="175" fontId="0" fillId="0" borderId="10" xfId="42" applyNumberFormat="1" applyFont="1" applyFill="1" applyBorder="1" applyAlignment="1">
      <alignment horizontal="center" wrapText="1"/>
    </xf>
    <xf numFmtId="0" fontId="117" fillId="0" borderId="0" xfId="0" applyFont="1" applyAlignment="1">
      <alignment/>
    </xf>
    <xf numFmtId="0" fontId="118" fillId="0" borderId="0" xfId="0" applyFont="1" applyAlignment="1">
      <alignment/>
    </xf>
    <xf numFmtId="175" fontId="0" fillId="37"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7" borderId="10" xfId="0" applyNumberFormat="1" applyFont="1" applyFill="1" applyBorder="1" applyAlignment="1">
      <alignment/>
    </xf>
    <xf numFmtId="173" fontId="0" fillId="37" borderId="10" xfId="0" applyNumberFormat="1" applyFont="1" applyFill="1" applyBorder="1" applyAlignment="1">
      <alignment horizontal="center"/>
    </xf>
    <xf numFmtId="3" fontId="0" fillId="37" borderId="10" xfId="0" applyNumberFormat="1" applyFont="1" applyFill="1" applyBorder="1" applyAlignment="1">
      <alignment wrapText="1"/>
    </xf>
    <xf numFmtId="175" fontId="0" fillId="37" borderId="10" xfId="42" applyNumberFormat="1" applyFont="1" applyFill="1" applyBorder="1" applyAlignment="1">
      <alignment horizontal="center" wrapText="1"/>
    </xf>
    <xf numFmtId="175" fontId="0" fillId="37" borderId="0" xfId="42" applyNumberFormat="1" applyFont="1" applyFill="1" applyAlignment="1">
      <alignment/>
    </xf>
    <xf numFmtId="0" fontId="0" fillId="37" borderId="10" xfId="0" applyFont="1" applyFill="1" applyBorder="1" applyAlignment="1">
      <alignment wrapText="1"/>
    </xf>
    <xf numFmtId="49" fontId="107" fillId="0" borderId="10" xfId="0" applyNumberFormat="1" applyFont="1" applyBorder="1" applyAlignment="1" quotePrefix="1">
      <alignment/>
    </xf>
    <xf numFmtId="49" fontId="107" fillId="37" borderId="10" xfId="0" applyNumberFormat="1" applyFont="1" applyFill="1" applyBorder="1" applyAlignment="1" quotePrefix="1">
      <alignment/>
    </xf>
    <xf numFmtId="49" fontId="107" fillId="0" borderId="10" xfId="0" applyNumberFormat="1" applyFont="1" applyBorder="1" applyAlignment="1">
      <alignment/>
    </xf>
    <xf numFmtId="49" fontId="107" fillId="37" borderId="10" xfId="0" applyNumberFormat="1" applyFont="1" applyFill="1" applyBorder="1" applyAlignment="1">
      <alignment/>
    </xf>
    <xf numFmtId="49" fontId="119" fillId="37" borderId="10" xfId="0" applyNumberFormat="1" applyFont="1" applyFill="1" applyBorder="1" applyAlignment="1" quotePrefix="1">
      <alignment/>
    </xf>
    <xf numFmtId="49" fontId="107"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20" fillId="11" borderId="10" xfId="0" applyFont="1" applyFill="1" applyBorder="1" applyAlignment="1">
      <alignment horizontal="center" vertical="center" wrapText="1"/>
    </xf>
    <xf numFmtId="0" fontId="109" fillId="0" borderId="10" xfId="0" applyFont="1" applyBorder="1" applyAlignment="1">
      <alignment horizontal="left" vertical="center" wrapText="1"/>
    </xf>
    <xf numFmtId="0" fontId="109" fillId="0" borderId="10" xfId="0" applyFont="1" applyBorder="1" applyAlignment="1">
      <alignment horizontal="left" vertical="center"/>
    </xf>
    <xf numFmtId="175" fontId="107" fillId="0" borderId="15" xfId="0" applyNumberFormat="1" applyFont="1" applyBorder="1" applyAlignment="1">
      <alignment horizontal="left"/>
    </xf>
    <xf numFmtId="175" fontId="18" fillId="7" borderId="10" xfId="0" applyNumberFormat="1" applyFont="1" applyFill="1" applyBorder="1" applyAlignment="1">
      <alignment horizontal="left" vertical="center"/>
    </xf>
    <xf numFmtId="0" fontId="104" fillId="0" borderId="10" xfId="0" applyFont="1" applyBorder="1" applyAlignment="1">
      <alignment horizontal="left" vertical="center"/>
    </xf>
    <xf numFmtId="0" fontId="112" fillId="0" borderId="10" xfId="0" applyFont="1" applyBorder="1" applyAlignment="1">
      <alignment horizontal="left" vertical="center"/>
    </xf>
    <xf numFmtId="0" fontId="23" fillId="11" borderId="10" xfId="0" applyFont="1" applyFill="1" applyBorder="1" applyAlignment="1">
      <alignment horizontal="center" vertical="center" wrapText="1"/>
    </xf>
    <xf numFmtId="0" fontId="114" fillId="11" borderId="10" xfId="0" applyFont="1" applyFill="1" applyBorder="1" applyAlignment="1">
      <alignment horizontal="center" vertical="center" wrapText="1"/>
    </xf>
    <xf numFmtId="0" fontId="27" fillId="11" borderId="14" xfId="0" applyFont="1" applyFill="1" applyBorder="1" applyAlignment="1">
      <alignment horizontal="center" vertical="center"/>
    </xf>
    <xf numFmtId="0" fontId="18" fillId="11" borderId="14" xfId="0" applyFont="1" applyFill="1" applyBorder="1" applyAlignment="1">
      <alignment horizontal="center" vertical="center" wrapText="1"/>
    </xf>
    <xf numFmtId="0" fontId="18" fillId="11" borderId="14" xfId="0" applyFont="1" applyFill="1" applyBorder="1" applyAlignment="1">
      <alignment horizontal="center" vertical="center"/>
    </xf>
    <xf numFmtId="0" fontId="17" fillId="39" borderId="0" xfId="0" applyFont="1" applyFill="1" applyAlignment="1">
      <alignment/>
    </xf>
    <xf numFmtId="0" fontId="121" fillId="0" borderId="0" xfId="0" applyFont="1" applyAlignment="1">
      <alignment/>
    </xf>
    <xf numFmtId="173" fontId="7" fillId="37" borderId="10" xfId="0" applyNumberFormat="1" applyFont="1" applyFill="1" applyBorder="1" applyAlignment="1">
      <alignment/>
    </xf>
    <xf numFmtId="173" fontId="31" fillId="37" borderId="10" xfId="0" applyNumberFormat="1" applyFont="1" applyFill="1" applyBorder="1" applyAlignment="1">
      <alignment/>
    </xf>
    <xf numFmtId="173" fontId="7" fillId="0" borderId="10" xfId="0" applyNumberFormat="1" applyFont="1" applyBorder="1" applyAlignment="1">
      <alignment wrapText="1"/>
    </xf>
    <xf numFmtId="0" fontId="122" fillId="0" borderId="0" xfId="0" applyFont="1" applyAlignment="1" quotePrefix="1">
      <alignment horizontal="left" vertical="center"/>
    </xf>
    <xf numFmtId="0" fontId="123" fillId="0" borderId="17" xfId="0" applyFont="1" applyBorder="1" applyAlignment="1">
      <alignment/>
    </xf>
    <xf numFmtId="0" fontId="124" fillId="0" borderId="0" xfId="0" applyFont="1" applyAlignment="1">
      <alignment/>
    </xf>
    <xf numFmtId="173" fontId="104" fillId="0" borderId="10" xfId="0" applyNumberFormat="1" applyFont="1" applyBorder="1" applyAlignment="1">
      <alignment horizontal="left" vertical="center"/>
    </xf>
    <xf numFmtId="0" fontId="104" fillId="0" borderId="0" xfId="0" applyFont="1" applyAlignment="1">
      <alignment/>
    </xf>
    <xf numFmtId="0" fontId="26" fillId="0" borderId="0" xfId="0" applyFont="1" applyAlignment="1">
      <alignment wrapText="1"/>
    </xf>
    <xf numFmtId="0" fontId="104" fillId="0" borderId="0" xfId="0" applyFont="1" applyAlignment="1">
      <alignment/>
    </xf>
    <xf numFmtId="0" fontId="113" fillId="0" borderId="0" xfId="0" applyFont="1" applyAlignment="1">
      <alignment/>
    </xf>
    <xf numFmtId="0" fontId="113" fillId="0" borderId="0" xfId="0" applyFont="1" applyAlignment="1">
      <alignment horizontal="left" vertical="center"/>
    </xf>
    <xf numFmtId="0" fontId="27" fillId="0" borderId="0" xfId="0" applyFont="1" applyFill="1" applyAlignment="1">
      <alignment vertical="center" wrapText="1"/>
    </xf>
    <xf numFmtId="43" fontId="104" fillId="0" borderId="0" xfId="45" applyFont="1" applyAlignment="1">
      <alignment vertical="center"/>
    </xf>
    <xf numFmtId="0" fontId="104" fillId="0" borderId="0" xfId="0" applyFont="1" applyAlignment="1">
      <alignment horizontal="left" vertical="center"/>
    </xf>
    <xf numFmtId="0" fontId="104" fillId="40" borderId="0" xfId="0" applyFont="1" applyFill="1" applyAlignment="1">
      <alignment horizontal="left" vertical="center"/>
    </xf>
    <xf numFmtId="0" fontId="104" fillId="0" borderId="18" xfId="0" applyFont="1" applyBorder="1" applyAlignment="1">
      <alignment horizontal="left" vertical="center" wrapText="1"/>
    </xf>
    <xf numFmtId="0" fontId="27" fillId="0" borderId="18" xfId="0" applyFont="1" applyFill="1" applyBorder="1" applyAlignment="1">
      <alignment vertical="center" wrapText="1"/>
    </xf>
    <xf numFmtId="0" fontId="26" fillId="0" borderId="0" xfId="0" applyFont="1" applyFill="1" applyAlignment="1">
      <alignment vertical="center" wrapText="1"/>
    </xf>
    <xf numFmtId="0" fontId="125" fillId="0" borderId="0" xfId="0" applyFont="1" applyAlignment="1">
      <alignment horizontal="left" vertical="center"/>
    </xf>
    <xf numFmtId="0" fontId="126" fillId="0" borderId="0" xfId="0" applyFont="1" applyBorder="1" applyAlignment="1">
      <alignment/>
    </xf>
    <xf numFmtId="0" fontId="113" fillId="41" borderId="10" xfId="0" applyFont="1" applyFill="1" applyBorder="1" applyAlignment="1">
      <alignment horizontal="center" vertical="center" wrapText="1"/>
    </xf>
    <xf numFmtId="0" fontId="27" fillId="41" borderId="10" xfId="0" applyFont="1" applyFill="1" applyBorder="1" applyAlignment="1">
      <alignment horizontal="center" vertical="center" wrapText="1"/>
    </xf>
    <xf numFmtId="43" fontId="113" fillId="41" borderId="10" xfId="45" applyFont="1" applyFill="1" applyBorder="1" applyAlignment="1">
      <alignment vertical="center" wrapText="1"/>
    </xf>
    <xf numFmtId="0" fontId="104" fillId="0" borderId="0" xfId="0" applyFont="1" applyAlignment="1">
      <alignment horizontal="center"/>
    </xf>
    <xf numFmtId="0" fontId="104" fillId="0" borderId="10" xfId="0" applyFont="1" applyBorder="1" applyAlignment="1">
      <alignment horizontal="justify" vertical="center" wrapText="1"/>
    </xf>
    <xf numFmtId="49" fontId="26" fillId="0" borderId="10" xfId="0" applyNumberFormat="1" applyFont="1" applyFill="1" applyBorder="1" applyAlignment="1" quotePrefix="1">
      <alignment vertical="center" wrapText="1"/>
    </xf>
    <xf numFmtId="207" fontId="26" fillId="0" borderId="10" xfId="45" applyNumberFormat="1" applyFont="1" applyBorder="1" applyAlignment="1">
      <alignment vertical="center"/>
    </xf>
    <xf numFmtId="0" fontId="127" fillId="0" borderId="0" xfId="0" applyFont="1" applyAlignment="1">
      <alignment/>
    </xf>
    <xf numFmtId="0" fontId="26" fillId="0" borderId="10" xfId="0" applyFont="1" applyFill="1" applyBorder="1" applyAlignment="1">
      <alignment horizontal="left" vertical="center" wrapText="1"/>
    </xf>
    <xf numFmtId="43" fontId="127" fillId="0" borderId="10" xfId="45" applyFont="1" applyBorder="1" applyAlignment="1">
      <alignment vertical="center"/>
    </xf>
    <xf numFmtId="0" fontId="26" fillId="0" borderId="0" xfId="0" applyFont="1" applyBorder="1" applyAlignment="1">
      <alignment horizontal="center" vertical="center"/>
    </xf>
    <xf numFmtId="0" fontId="27" fillId="0" borderId="0" xfId="0" applyFont="1" applyFill="1" applyBorder="1" applyAlignment="1">
      <alignment horizontal="left" vertical="center" wrapText="1"/>
    </xf>
    <xf numFmtId="43" fontId="127" fillId="0" borderId="0" xfId="45" applyFont="1" applyBorder="1" applyAlignment="1">
      <alignment vertical="center"/>
    </xf>
    <xf numFmtId="0" fontId="26" fillId="0" borderId="10" xfId="0" applyFont="1" applyBorder="1" applyAlignment="1">
      <alignment vertical="center" wrapText="1"/>
    </xf>
    <xf numFmtId="0" fontId="104" fillId="0" borderId="10" xfId="0" applyFont="1" applyBorder="1" applyAlignment="1">
      <alignment/>
    </xf>
    <xf numFmtId="0" fontId="104" fillId="0" borderId="11" xfId="0" applyFont="1" applyBorder="1" applyAlignment="1">
      <alignment/>
    </xf>
    <xf numFmtId="0" fontId="26" fillId="0" borderId="10" xfId="0" applyFont="1" applyBorder="1" applyAlignment="1">
      <alignment wrapText="1"/>
    </xf>
    <xf numFmtId="43" fontId="26" fillId="0" borderId="10" xfId="45" applyFont="1" applyBorder="1" applyAlignment="1">
      <alignment vertical="center"/>
    </xf>
    <xf numFmtId="0" fontId="27" fillId="0" borderId="10" xfId="0" applyFont="1" applyBorder="1" applyAlignment="1">
      <alignment wrapText="1"/>
    </xf>
    <xf numFmtId="43" fontId="127" fillId="0" borderId="0" xfId="45" applyFont="1" applyAlignment="1">
      <alignment vertical="center"/>
    </xf>
    <xf numFmtId="43" fontId="27" fillId="41" borderId="10" xfId="45" applyFont="1" applyFill="1" applyBorder="1" applyAlignment="1">
      <alignment vertical="center" wrapText="1"/>
    </xf>
    <xf numFmtId="0" fontId="26" fillId="0" borderId="10" xfId="0" applyFont="1" applyBorder="1" applyAlignment="1">
      <alignment vertical="center"/>
    </xf>
    <xf numFmtId="0" fontId="26" fillId="0" borderId="10" xfId="0" applyFont="1" applyBorder="1" applyAlignment="1">
      <alignment horizontal="center" vertical="center"/>
    </xf>
    <xf numFmtId="0" fontId="27" fillId="0" borderId="10" xfId="0" applyFont="1" applyFill="1" applyBorder="1" applyAlignment="1">
      <alignment horizontal="left" vertical="center" wrapText="1"/>
    </xf>
    <xf numFmtId="173" fontId="26" fillId="0" borderId="10" xfId="0" applyNumberFormat="1" applyFont="1" applyFill="1" applyBorder="1" applyAlignment="1" applyProtection="1">
      <alignment vertical="center" wrapText="1"/>
      <protection hidden="1"/>
    </xf>
    <xf numFmtId="175" fontId="126" fillId="0" borderId="10" xfId="0" applyNumberFormat="1" applyFont="1" applyBorder="1" applyAlignment="1">
      <alignment horizontal="center" vertical="center"/>
    </xf>
    <xf numFmtId="175" fontId="0" fillId="0" borderId="10" xfId="42" applyNumberFormat="1" applyFont="1" applyBorder="1" applyAlignment="1">
      <alignment/>
    </xf>
    <xf numFmtId="0" fontId="17" fillId="0" borderId="10" xfId="0" applyFont="1" applyBorder="1" applyAlignment="1">
      <alignment/>
    </xf>
    <xf numFmtId="175" fontId="21" fillId="0" borderId="11" xfId="0" applyNumberFormat="1" applyFont="1" applyBorder="1" applyAlignment="1">
      <alignment horizontal="center" vertical="center" wrapText="1"/>
    </xf>
    <xf numFmtId="0" fontId="17" fillId="42" borderId="10" xfId="0" applyFont="1" applyFill="1" applyBorder="1" applyAlignment="1" quotePrefix="1">
      <alignment/>
    </xf>
    <xf numFmtId="0" fontId="0" fillId="11" borderId="13" xfId="0" applyFill="1" applyBorder="1" applyAlignment="1">
      <alignment vertical="center" wrapText="1"/>
    </xf>
    <xf numFmtId="173" fontId="44" fillId="11" borderId="11" xfId="0" applyNumberFormat="1" applyFont="1" applyFill="1" applyBorder="1" applyAlignment="1" applyProtection="1" quotePrefix="1">
      <alignment horizontal="center" vertical="center" wrapText="1"/>
      <protection hidden="1"/>
    </xf>
    <xf numFmtId="175" fontId="17" fillId="0" borderId="10" xfId="42" applyNumberFormat="1" applyFont="1" applyBorder="1" applyAlignment="1">
      <alignment horizontal="center"/>
    </xf>
    <xf numFmtId="175" fontId="0" fillId="0" borderId="10" xfId="42" applyNumberFormat="1" applyFont="1" applyBorder="1" applyAlignment="1">
      <alignment/>
    </xf>
    <xf numFmtId="175" fontId="0" fillId="0" borderId="10" xfId="42" applyNumberFormat="1" applyFont="1" applyBorder="1" applyAlignment="1">
      <alignment horizontal="center" vertical="center" wrapText="1"/>
    </xf>
    <xf numFmtId="175" fontId="16" fillId="0" borderId="10" xfId="42" applyNumberFormat="1" applyFont="1" applyBorder="1" applyAlignment="1">
      <alignment horizontal="center" vertical="center" wrapText="1"/>
    </xf>
    <xf numFmtId="175" fontId="17" fillId="0" borderId="10" xfId="42" applyNumberFormat="1" applyFont="1" applyBorder="1" applyAlignment="1">
      <alignment horizontal="center" vertical="center" wrapText="1"/>
    </xf>
    <xf numFmtId="0" fontId="128" fillId="0" borderId="0" xfId="0" applyFont="1" applyAlignment="1">
      <alignment horizontal="left" wrapText="1"/>
    </xf>
    <xf numFmtId="0" fontId="129" fillId="43" borderId="19" xfId="0" applyFont="1" applyFill="1" applyBorder="1" applyAlignment="1">
      <alignment horizontal="left"/>
    </xf>
    <xf numFmtId="0" fontId="129" fillId="43" borderId="4" xfId="0" applyFont="1" applyFill="1" applyBorder="1" applyAlignment="1">
      <alignment horizontal="left"/>
    </xf>
    <xf numFmtId="0" fontId="129" fillId="43" borderId="20" xfId="0" applyFont="1" applyFill="1" applyBorder="1" applyAlignment="1">
      <alignment horizontal="left"/>
    </xf>
    <xf numFmtId="0" fontId="113" fillId="0" borderId="21" xfId="0" applyFont="1" applyBorder="1" applyAlignment="1">
      <alignment horizontal="left"/>
    </xf>
    <xf numFmtId="0" fontId="127" fillId="0" borderId="21" xfId="0" applyFont="1" applyBorder="1" applyAlignment="1">
      <alignment horizontal="left"/>
    </xf>
    <xf numFmtId="43" fontId="26" fillId="0" borderId="11" xfId="42" applyFont="1" applyBorder="1" applyAlignment="1">
      <alignment vertical="center"/>
    </xf>
    <xf numFmtId="43" fontId="26" fillId="0" borderId="13" xfId="42" applyFont="1" applyBorder="1" applyAlignment="1">
      <alignment vertical="center"/>
    </xf>
    <xf numFmtId="43" fontId="26" fillId="0" borderId="11" xfId="45" applyNumberFormat="1" applyFont="1" applyBorder="1" applyAlignment="1">
      <alignment vertical="center"/>
    </xf>
    <xf numFmtId="43" fontId="26" fillId="0" borderId="13" xfId="45" applyNumberFormat="1" applyFont="1" applyBorder="1" applyAlignment="1">
      <alignment vertical="center"/>
    </xf>
    <xf numFmtId="0" fontId="104" fillId="0" borderId="11" xfId="0" applyFont="1" applyBorder="1" applyAlignment="1">
      <alignment/>
    </xf>
    <xf numFmtId="0" fontId="104" fillId="0" borderId="13" xfId="0" applyFont="1" applyBorder="1" applyAlignment="1">
      <alignment/>
    </xf>
    <xf numFmtId="0" fontId="113" fillId="39" borderId="0" xfId="0" applyFont="1" applyFill="1" applyAlignment="1">
      <alignment horizontal="center"/>
    </xf>
    <xf numFmtId="49" fontId="32" fillId="0" borderId="10" xfId="0" applyNumberFormat="1" applyFont="1" applyBorder="1" applyAlignment="1">
      <alignment horizontal="center"/>
    </xf>
    <xf numFmtId="0" fontId="130" fillId="39" borderId="0" xfId="0" applyFont="1" applyFill="1" applyBorder="1" applyAlignment="1">
      <alignment horizontal="center"/>
    </xf>
    <xf numFmtId="0" fontId="15" fillId="39" borderId="21" xfId="0" applyFont="1" applyFill="1" applyBorder="1" applyAlignment="1">
      <alignment horizontal="center" vertical="center"/>
    </xf>
    <xf numFmtId="0" fontId="115" fillId="0" borderId="19" xfId="0" applyFont="1" applyBorder="1" applyAlignment="1">
      <alignment horizontal="center" vertical="center" wrapText="1"/>
    </xf>
    <xf numFmtId="0" fontId="115" fillId="0" borderId="4" xfId="0" applyFont="1" applyBorder="1" applyAlignment="1">
      <alignment horizontal="center" vertical="center" wrapText="1"/>
    </xf>
    <xf numFmtId="0" fontId="115" fillId="0" borderId="20" xfId="0" applyFont="1" applyBorder="1" applyAlignment="1">
      <alignment horizontal="center" vertical="center" wrapText="1"/>
    </xf>
    <xf numFmtId="0" fontId="104" fillId="0" borderId="0" xfId="0" applyFont="1" applyAlignment="1">
      <alignment horizontal="center"/>
    </xf>
    <xf numFmtId="0" fontId="0" fillId="0" borderId="0" xfId="0" applyFont="1" applyAlignment="1">
      <alignment/>
    </xf>
    <xf numFmtId="0" fontId="131" fillId="39" borderId="0" xfId="0" applyFont="1" applyFill="1" applyAlignment="1">
      <alignment horizontal="center" vertical="center"/>
    </xf>
    <xf numFmtId="0" fontId="0" fillId="39" borderId="0" xfId="0" applyFont="1" applyFill="1" applyAlignment="1">
      <alignment vertical="center"/>
    </xf>
    <xf numFmtId="0" fontId="132" fillId="0" borderId="0" xfId="0" applyFont="1" applyAlignment="1">
      <alignment horizontal="center"/>
    </xf>
    <xf numFmtId="0" fontId="7" fillId="0" borderId="0" xfId="0" applyFont="1" applyAlignment="1">
      <alignment/>
    </xf>
    <xf numFmtId="0" fontId="15" fillId="39" borderId="0" xfId="0" applyFont="1" applyFill="1" applyAlignment="1">
      <alignment horizontal="center" vertical="center"/>
    </xf>
    <xf numFmtId="0" fontId="20" fillId="37" borderId="21" xfId="0" applyFont="1" applyFill="1" applyBorder="1" applyAlignment="1">
      <alignment horizontal="center" vertical="center"/>
    </xf>
    <xf numFmtId="175" fontId="20" fillId="38" borderId="10" xfId="42" applyNumberFormat="1" applyFont="1" applyFill="1" applyBorder="1" applyAlignment="1">
      <alignment horizontal="center" vertical="center" wrapText="1"/>
    </xf>
    <xf numFmtId="0" fontId="20" fillId="38" borderId="10" xfId="0" applyFont="1" applyFill="1" applyBorder="1" applyAlignment="1">
      <alignment horizontal="center" vertical="center" wrapText="1"/>
    </xf>
    <xf numFmtId="175" fontId="26" fillId="0" borderId="0" xfId="42" applyNumberFormat="1" applyFont="1" applyAlignment="1">
      <alignment horizontal="center"/>
    </xf>
    <xf numFmtId="0" fontId="15" fillId="39" borderId="0" xfId="0" applyFont="1" applyFill="1" applyAlignment="1">
      <alignment horizontal="center" vertical="center" wrapText="1"/>
    </xf>
    <xf numFmtId="0" fontId="17" fillId="11" borderId="11" xfId="0"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7" fillId="11" borderId="24"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4" xfId="0" applyFont="1" applyFill="1" applyBorder="1" applyAlignment="1">
      <alignment horizontal="center" vertical="center" wrapText="1"/>
    </xf>
    <xf numFmtId="173" fontId="22" fillId="11" borderId="11" xfId="0" applyNumberFormat="1" applyFont="1" applyFill="1" applyBorder="1" applyAlignment="1" applyProtection="1">
      <alignment horizontal="center" vertical="center" wrapText="1"/>
      <protection hidden="1"/>
    </xf>
    <xf numFmtId="173" fontId="22" fillId="11" borderId="13" xfId="0" applyNumberFormat="1" applyFont="1" applyFill="1" applyBorder="1" applyAlignment="1" applyProtection="1">
      <alignment horizontal="center" vertical="center" wrapText="1"/>
      <protection hidden="1"/>
    </xf>
    <xf numFmtId="0" fontId="26" fillId="0" borderId="0" xfId="0" applyFont="1" applyAlignment="1">
      <alignment horizont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10</xdr:col>
      <xdr:colOff>152400</xdr:colOff>
      <xdr:row>10</xdr:row>
      <xdr:rowOff>0</xdr:rowOff>
    </xdr:to>
    <xdr:sp>
      <xdr:nvSpPr>
        <xdr:cNvPr id="1" name="Rectangle 1"/>
        <xdr:cNvSpPr>
          <a:spLocks/>
        </xdr:cNvSpPr>
      </xdr:nvSpPr>
      <xdr:spPr>
        <a:xfrm>
          <a:off x="4733925" y="238125"/>
          <a:ext cx="229552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10</xdr:col>
      <xdr:colOff>152400</xdr:colOff>
      <xdr:row>5</xdr:row>
      <xdr:rowOff>123825</xdr:rowOff>
    </xdr:to>
    <xdr:sp>
      <xdr:nvSpPr>
        <xdr:cNvPr id="2" name="Straight Connector 2"/>
        <xdr:cNvSpPr>
          <a:spLocks/>
        </xdr:cNvSpPr>
      </xdr:nvSpPr>
      <xdr:spPr>
        <a:xfrm>
          <a:off x="4733925" y="1314450"/>
          <a:ext cx="2295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i%20giang%20KT%20EXCEL%202021\BT%20nh&#243;m\Sua%20bai\lo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TT DN"/>
      <sheetName val="DANH SACH"/>
      <sheetName val="CHUNGTUKT"/>
      <sheetName val="Giá xuất kho"/>
      <sheetName val="BCĐSPS"/>
      <sheetName val="KQKD"/>
      <sheetName val="BDMTK"/>
      <sheetName val="BCDKT"/>
      <sheetName val="LCTiềnTệ"/>
      <sheetName val="Vung DK"/>
      <sheetName val="SổCái-TKTH"/>
      <sheetName val="Bang PB CPTT"/>
      <sheetName val="Bảng tính KH TSCD"/>
      <sheetName val="Bảng Chấm  công tháng 1"/>
      <sheetName val="BTTL tháng 1"/>
      <sheetName val="Bảng Chấm  công tháng 2"/>
      <sheetName val="BTTL tháng 2"/>
      <sheetName val="Bảng Chấm  công tháng 3"/>
      <sheetName val="BTTL tháng 3"/>
      <sheetName val="Giá thành PX01"/>
      <sheetName val="GiáThành PX02"/>
      <sheetName val="NKThu"/>
      <sheetName val="NKChi"/>
      <sheetName val="NKMua"/>
      <sheetName val="NKBan"/>
      <sheetName val="SoNKC"/>
      <sheetName val="Sổ Quỹ"/>
      <sheetName val="SổTGNH"/>
      <sheetName val="SoChiTiet_HàngTồnKho"/>
      <sheetName val="152"/>
      <sheetName val="153"/>
      <sheetName val="155"/>
      <sheetName val="156"/>
      <sheetName val="SoChiTiet131&amp;331_TK#"/>
      <sheetName val="THCT131"/>
      <sheetName val="THCT331"/>
      <sheetName val="621"/>
      <sheetName val="622"/>
      <sheetName val="627"/>
      <sheetName val="CP154"/>
      <sheetName val="632"/>
      <sheetName val="641"/>
      <sheetName val="642"/>
      <sheetName val="621 (2)"/>
      <sheetName val="622 (2)"/>
      <sheetName val="627 (2)"/>
      <sheetName val="641(2)"/>
      <sheetName val="642(2)"/>
    </sheetNames>
    <sheetDataSet>
      <sheetData sheetId="1">
        <row r="10">
          <cell r="B10" t="str">
            <v>Lê Quang Đức</v>
          </cell>
        </row>
        <row r="11">
          <cell r="B11" t="str">
            <v>Nguyễn Thanh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2:J19"/>
  <sheetViews>
    <sheetView showGridLines="0" tabSelected="1" zoomScalePageLayoutView="0" workbookViewId="0" topLeftCell="A1">
      <selection activeCell="A4" sqref="A4:A6"/>
    </sheetView>
  </sheetViews>
  <sheetFormatPr defaultColWidth="9.140625" defaultRowHeight="12.75"/>
  <cols>
    <col min="1" max="1" width="11.7109375" style="40" customWidth="1"/>
    <col min="2" max="9" width="9.140625" style="40" customWidth="1"/>
    <col min="10" max="10" width="18.28125" style="40" customWidth="1"/>
    <col min="11" max="16384" width="9.140625" style="40" customWidth="1"/>
  </cols>
  <sheetData>
    <row r="2" ht="18.75">
      <c r="A2" s="39" t="s">
        <v>889</v>
      </c>
    </row>
    <row r="3" ht="18.75">
      <c r="A3" s="39" t="s">
        <v>893</v>
      </c>
    </row>
    <row r="4" spans="1:7" ht="18.75">
      <c r="A4" s="41" t="s">
        <v>1278</v>
      </c>
      <c r="B4" s="39"/>
      <c r="C4" s="39"/>
      <c r="D4" s="39"/>
      <c r="E4" s="39"/>
      <c r="F4" s="39"/>
      <c r="G4" s="39"/>
    </row>
    <row r="5" ht="18.75">
      <c r="A5" s="42" t="s">
        <v>1279</v>
      </c>
    </row>
    <row r="6" spans="1:6" ht="18.75">
      <c r="A6" s="41" t="s">
        <v>1280</v>
      </c>
      <c r="B6" s="39"/>
      <c r="C6" s="39"/>
      <c r="D6" s="39"/>
      <c r="E6" s="39"/>
      <c r="F6" s="39"/>
    </row>
    <row r="7" ht="18.75">
      <c r="A7" s="163" t="s">
        <v>1220</v>
      </c>
    </row>
    <row r="8" spans="1:8" ht="18.75">
      <c r="A8" s="163" t="s">
        <v>1221</v>
      </c>
      <c r="B8" s="43"/>
      <c r="C8" s="43"/>
      <c r="D8" s="43"/>
      <c r="E8" s="43"/>
      <c r="F8" s="43"/>
      <c r="G8" s="43"/>
      <c r="H8" s="43"/>
    </row>
    <row r="9" ht="18.75">
      <c r="A9" s="159" t="s">
        <v>1214</v>
      </c>
    </row>
    <row r="10" ht="18.75">
      <c r="A10" s="44"/>
    </row>
    <row r="11" spans="1:10" ht="57.75" customHeight="1">
      <c r="A11" s="218" t="s">
        <v>1222</v>
      </c>
      <c r="B11" s="218"/>
      <c r="C11" s="218"/>
      <c r="D11" s="218"/>
      <c r="E11" s="218"/>
      <c r="F11" s="218"/>
      <c r="G11" s="218"/>
      <c r="H11" s="218"/>
      <c r="I11" s="218"/>
      <c r="J11" s="218"/>
    </row>
    <row r="12" ht="18.75">
      <c r="J12" s="45"/>
    </row>
    <row r="13" spans="1:10" ht="18.75">
      <c r="A13" s="51" t="s">
        <v>890</v>
      </c>
      <c r="B13" s="219" t="s">
        <v>1215</v>
      </c>
      <c r="C13" s="220"/>
      <c r="D13" s="220"/>
      <c r="E13" s="220"/>
      <c r="F13" s="220"/>
      <c r="G13" s="220"/>
      <c r="H13" s="220"/>
      <c r="I13" s="221"/>
      <c r="J13" s="52" t="s">
        <v>1218</v>
      </c>
    </row>
    <row r="14" spans="1:10" ht="18.75">
      <c r="A14" s="51" t="s">
        <v>891</v>
      </c>
      <c r="B14" s="219" t="s">
        <v>1216</v>
      </c>
      <c r="C14" s="220"/>
      <c r="D14" s="220"/>
      <c r="E14" s="220"/>
      <c r="F14" s="220"/>
      <c r="G14" s="220"/>
      <c r="H14" s="220"/>
      <c r="I14" s="221"/>
      <c r="J14" s="52" t="s">
        <v>1218</v>
      </c>
    </row>
    <row r="15" spans="1:10" ht="18.75">
      <c r="A15" s="51" t="s">
        <v>987</v>
      </c>
      <c r="B15" s="219" t="s">
        <v>1217</v>
      </c>
      <c r="C15" s="220"/>
      <c r="D15" s="220"/>
      <c r="E15" s="220"/>
      <c r="F15" s="220"/>
      <c r="G15" s="220"/>
      <c r="H15" s="220"/>
      <c r="I15" s="221"/>
      <c r="J15" s="52" t="s">
        <v>1219</v>
      </c>
    </row>
    <row r="16" ht="18.75">
      <c r="A16" s="164" t="s">
        <v>1223</v>
      </c>
    </row>
    <row r="17" ht="18.75">
      <c r="A17" s="165" t="s">
        <v>1224</v>
      </c>
    </row>
    <row r="19" ht="18.75">
      <c r="F19" s="46" t="s">
        <v>892</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D45"/>
  <sheetViews>
    <sheetView zoomScalePageLayoutView="0" workbookViewId="0" topLeftCell="A1">
      <selection activeCell="B7" sqref="B7"/>
    </sheetView>
  </sheetViews>
  <sheetFormatPr defaultColWidth="9.140625" defaultRowHeight="12.75"/>
  <cols>
    <col min="1" max="1" width="39.8515625" style="167" customWidth="1"/>
    <col min="2" max="2" width="63.57421875" style="168" customWidth="1"/>
    <col min="3" max="3" width="14.8515625" style="169" customWidth="1"/>
    <col min="4" max="16384" width="9.140625" style="167" customWidth="1"/>
  </cols>
  <sheetData>
    <row r="1" ht="15.75">
      <c r="A1" s="167" t="s">
        <v>889</v>
      </c>
    </row>
    <row r="2" ht="15.75">
      <c r="A2" s="170" t="s">
        <v>893</v>
      </c>
    </row>
    <row r="4" spans="1:3" ht="15.75">
      <c r="A4" s="171" t="s">
        <v>1281</v>
      </c>
      <c r="B4" s="172"/>
      <c r="C4" s="173"/>
    </row>
    <row r="5" spans="1:3" ht="15.75">
      <c r="A5" s="174" t="s">
        <v>1227</v>
      </c>
      <c r="B5" s="172"/>
      <c r="C5" s="173"/>
    </row>
    <row r="6" spans="1:3" ht="15.75">
      <c r="A6" s="175" t="s">
        <v>1246</v>
      </c>
      <c r="B6" s="172"/>
      <c r="C6" s="173"/>
    </row>
    <row r="7" spans="1:3" ht="15.75">
      <c r="A7" s="174" t="s">
        <v>1280</v>
      </c>
      <c r="B7" s="172"/>
      <c r="C7" s="173"/>
    </row>
    <row r="8" spans="1:3" ht="16.5" thickBot="1">
      <c r="A8" s="176"/>
      <c r="B8" s="177"/>
      <c r="C8" s="173"/>
    </row>
    <row r="9" spans="1:3" ht="15.75">
      <c r="A9" s="174"/>
      <c r="B9" s="178"/>
      <c r="C9" s="173"/>
    </row>
    <row r="10" spans="1:3" ht="15.75">
      <c r="A10" s="179" t="s">
        <v>1228</v>
      </c>
      <c r="B10" s="178"/>
      <c r="C10" s="173"/>
    </row>
    <row r="11" spans="1:3" ht="15.75">
      <c r="A11" s="179" t="s">
        <v>1229</v>
      </c>
      <c r="B11" s="178"/>
      <c r="C11" s="173"/>
    </row>
    <row r="12" spans="1:3" ht="15.75">
      <c r="A12" s="174"/>
      <c r="B12" s="178"/>
      <c r="C12" s="173"/>
    </row>
    <row r="13" spans="1:3" s="180" customFormat="1" ht="24" customHeight="1">
      <c r="A13" s="222" t="s">
        <v>1256</v>
      </c>
      <c r="B13" s="222"/>
      <c r="C13" s="222"/>
    </row>
    <row r="14" spans="1:3" s="184" customFormat="1" ht="15.75">
      <c r="A14" s="181" t="s">
        <v>1230</v>
      </c>
      <c r="B14" s="182" t="s">
        <v>299</v>
      </c>
      <c r="C14" s="183" t="s">
        <v>1231</v>
      </c>
    </row>
    <row r="15" spans="1:4" ht="19.5" customHeight="1">
      <c r="A15" s="185" t="s">
        <v>1257</v>
      </c>
      <c r="B15" s="186" t="s">
        <v>1258</v>
      </c>
      <c r="C15" s="187">
        <v>0.5</v>
      </c>
      <c r="D15" s="188"/>
    </row>
    <row r="16" spans="1:3" ht="19.5" customHeight="1">
      <c r="A16" s="189" t="s">
        <v>1259</v>
      </c>
      <c r="B16" s="186" t="s">
        <v>1260</v>
      </c>
      <c r="C16" s="187">
        <v>0.5</v>
      </c>
    </row>
    <row r="17" spans="1:3" ht="19.5" customHeight="1">
      <c r="A17" s="189" t="s">
        <v>1261</v>
      </c>
      <c r="B17" s="186" t="s">
        <v>1262</v>
      </c>
      <c r="C17" s="187">
        <v>0.5</v>
      </c>
    </row>
    <row r="18" spans="1:3" ht="19.5" customHeight="1">
      <c r="A18" s="189" t="s">
        <v>1263</v>
      </c>
      <c r="B18" s="186" t="s">
        <v>1264</v>
      </c>
      <c r="C18" s="187">
        <v>0.5</v>
      </c>
    </row>
    <row r="19" spans="1:3" ht="19.5" customHeight="1">
      <c r="A19" s="189" t="s">
        <v>918</v>
      </c>
      <c r="B19" s="189" t="s">
        <v>1265</v>
      </c>
      <c r="C19" s="187">
        <v>0.5</v>
      </c>
    </row>
    <row r="20" spans="1:3" ht="19.5" customHeight="1">
      <c r="A20" s="189" t="s">
        <v>919</v>
      </c>
      <c r="B20" s="189" t="s">
        <v>1266</v>
      </c>
      <c r="C20" s="187">
        <v>0.5</v>
      </c>
    </row>
    <row r="21" spans="1:3" ht="19.5" customHeight="1">
      <c r="A21" s="189"/>
      <c r="B21" s="199" t="s">
        <v>1232</v>
      </c>
      <c r="C21" s="190">
        <f>SUM(C15:C20)</f>
        <v>3</v>
      </c>
    </row>
    <row r="22" spans="1:3" ht="15.75">
      <c r="A22" s="191"/>
      <c r="B22" s="192"/>
      <c r="C22" s="193"/>
    </row>
    <row r="23" spans="1:3" ht="15.75">
      <c r="A23" s="188" t="s">
        <v>1255</v>
      </c>
      <c r="C23" s="200"/>
    </row>
    <row r="24" spans="1:3" ht="15.75">
      <c r="A24" s="182" t="s">
        <v>1230</v>
      </c>
      <c r="B24" s="182" t="s">
        <v>299</v>
      </c>
      <c r="C24" s="201" t="s">
        <v>1231</v>
      </c>
    </row>
    <row r="25" spans="1:3" ht="47.25">
      <c r="A25" s="189" t="s">
        <v>1248</v>
      </c>
      <c r="B25" s="205" t="s">
        <v>1272</v>
      </c>
      <c r="C25" s="202">
        <v>0.5</v>
      </c>
    </row>
    <row r="26" spans="1:3" ht="37.5" customHeight="1">
      <c r="A26" s="189" t="s">
        <v>1249</v>
      </c>
      <c r="B26" s="205" t="s">
        <v>1273</v>
      </c>
      <c r="C26" s="202">
        <v>0.5</v>
      </c>
    </row>
    <row r="27" spans="1:3" ht="63">
      <c r="A27" s="189" t="s">
        <v>1250</v>
      </c>
      <c r="B27" s="205" t="s">
        <v>1274</v>
      </c>
      <c r="C27" s="202">
        <v>0.5</v>
      </c>
    </row>
    <row r="28" spans="1:3" ht="63">
      <c r="A28" s="189" t="s">
        <v>1251</v>
      </c>
      <c r="B28" s="205" t="s">
        <v>1275</v>
      </c>
      <c r="C28" s="202">
        <v>0.5</v>
      </c>
    </row>
    <row r="29" spans="1:3" ht="47.25">
      <c r="A29" s="189" t="s">
        <v>1252</v>
      </c>
      <c r="B29" s="205" t="s">
        <v>1253</v>
      </c>
      <c r="C29" s="202">
        <v>0.75</v>
      </c>
    </row>
    <row r="30" spans="1:3" ht="15.75">
      <c r="A30" s="189" t="s">
        <v>127</v>
      </c>
      <c r="B30" s="205" t="s">
        <v>1254</v>
      </c>
      <c r="C30" s="202">
        <v>0.25</v>
      </c>
    </row>
    <row r="31" spans="1:3" ht="15.75">
      <c r="A31" s="203"/>
      <c r="B31" s="204" t="s">
        <v>1232</v>
      </c>
      <c r="C31" s="190">
        <f>SUM(C25:C30)</f>
        <v>3</v>
      </c>
    </row>
    <row r="33" spans="1:3" ht="15.75">
      <c r="A33" s="223" t="s">
        <v>1247</v>
      </c>
      <c r="B33" s="223"/>
      <c r="C33" s="223"/>
    </row>
    <row r="34" spans="1:3" s="184" customFormat="1" ht="15.75">
      <c r="A34" s="181" t="s">
        <v>1230</v>
      </c>
      <c r="B34" s="182" t="s">
        <v>299</v>
      </c>
      <c r="C34" s="183" t="s">
        <v>1231</v>
      </c>
    </row>
    <row r="35" spans="1:3" s="184" customFormat="1" ht="15.75">
      <c r="A35" s="185" t="s">
        <v>1233</v>
      </c>
      <c r="B35" s="186" t="s">
        <v>1267</v>
      </c>
      <c r="C35" s="224">
        <v>0.5</v>
      </c>
    </row>
    <row r="36" spans="1:3" ht="34.5" customHeight="1">
      <c r="A36" s="189" t="s">
        <v>1234</v>
      </c>
      <c r="B36" s="186" t="s">
        <v>1235</v>
      </c>
      <c r="C36" s="225"/>
    </row>
    <row r="37" spans="1:3" ht="31.5">
      <c r="A37" s="189" t="s">
        <v>1236</v>
      </c>
      <c r="B37" s="186" t="s">
        <v>1237</v>
      </c>
      <c r="C37" s="226">
        <v>1</v>
      </c>
    </row>
    <row r="38" spans="1:3" ht="68.25" customHeight="1">
      <c r="A38" s="189" t="s">
        <v>1238</v>
      </c>
      <c r="B38" s="186" t="s">
        <v>1239</v>
      </c>
      <c r="C38" s="227"/>
    </row>
    <row r="39" spans="1:3" ht="53.25" customHeight="1">
      <c r="A39" s="189" t="s">
        <v>1268</v>
      </c>
      <c r="B39" s="189" t="s">
        <v>1276</v>
      </c>
      <c r="C39" s="187">
        <v>0.5</v>
      </c>
    </row>
    <row r="40" spans="1:3" ht="24" customHeight="1">
      <c r="A40" s="189" t="s">
        <v>1240</v>
      </c>
      <c r="B40" s="194" t="s">
        <v>1241</v>
      </c>
      <c r="C40" s="195">
        <v>0.75</v>
      </c>
    </row>
    <row r="41" spans="1:3" ht="34.5" customHeight="1">
      <c r="A41" s="189" t="s">
        <v>1242</v>
      </c>
      <c r="B41" s="194" t="s">
        <v>1243</v>
      </c>
      <c r="C41" s="196">
        <v>0.5</v>
      </c>
    </row>
    <row r="42" spans="1:3" ht="36" customHeight="1">
      <c r="A42" s="189" t="s">
        <v>1269</v>
      </c>
      <c r="B42" s="194" t="s">
        <v>1277</v>
      </c>
      <c r="C42" s="228">
        <v>0.5</v>
      </c>
    </row>
    <row r="43" spans="1:3" ht="22.5" customHeight="1">
      <c r="A43" s="189" t="s">
        <v>1270</v>
      </c>
      <c r="B43" s="194" t="s">
        <v>1244</v>
      </c>
      <c r="C43" s="229"/>
    </row>
    <row r="44" spans="1:3" ht="39" customHeight="1">
      <c r="A44" s="189" t="s">
        <v>1245</v>
      </c>
      <c r="B44" s="197"/>
      <c r="C44" s="198">
        <v>0.25</v>
      </c>
    </row>
    <row r="45" spans="1:3" ht="22.5" customHeight="1">
      <c r="A45" s="189"/>
      <c r="B45" s="199" t="s">
        <v>1232</v>
      </c>
      <c r="C45" s="190">
        <f>SUM(C35:C44)</f>
        <v>4</v>
      </c>
    </row>
  </sheetData>
  <sheetProtection/>
  <mergeCells count="5">
    <mergeCell ref="A13:C13"/>
    <mergeCell ref="A33:C33"/>
    <mergeCell ref="C35:C36"/>
    <mergeCell ref="C37:C38"/>
    <mergeCell ref="C42:C4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D6" sqref="D6"/>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230" t="s">
        <v>811</v>
      </c>
      <c r="B1" s="230"/>
      <c r="F1" s="15"/>
    </row>
    <row r="2" ht="14.25">
      <c r="F2" s="15"/>
    </row>
    <row r="3" ht="14.25">
      <c r="F3" s="15"/>
    </row>
    <row r="4" ht="14.25">
      <c r="F4" s="15"/>
    </row>
    <row r="5" spans="1:2" ht="12.75">
      <c r="A5" s="16" t="s">
        <v>299</v>
      </c>
      <c r="B5" s="16" t="s">
        <v>812</v>
      </c>
    </row>
    <row r="6" spans="1:2" ht="12.75">
      <c r="A6" s="17" t="s">
        <v>813</v>
      </c>
      <c r="B6" s="18" t="s">
        <v>894</v>
      </c>
    </row>
    <row r="7" spans="1:2" ht="12.75">
      <c r="A7" s="17" t="s">
        <v>468</v>
      </c>
      <c r="B7" s="18" t="s">
        <v>895</v>
      </c>
    </row>
    <row r="8" spans="1:2" ht="12.75">
      <c r="A8" s="17" t="s">
        <v>814</v>
      </c>
      <c r="B8" s="48" t="s">
        <v>896</v>
      </c>
    </row>
    <row r="9" spans="1:2" ht="12.75">
      <c r="A9" s="17" t="s">
        <v>815</v>
      </c>
      <c r="B9" s="18" t="s">
        <v>897</v>
      </c>
    </row>
    <row r="10" spans="1:2" ht="12.75">
      <c r="A10" s="17" t="s">
        <v>816</v>
      </c>
      <c r="B10" s="18" t="s">
        <v>898</v>
      </c>
    </row>
    <row r="11" spans="1:2" ht="12.75">
      <c r="A11" s="17" t="s">
        <v>817</v>
      </c>
      <c r="B11" s="18" t="s">
        <v>899</v>
      </c>
    </row>
    <row r="12" spans="1:2" ht="12.75">
      <c r="A12" s="17" t="s">
        <v>887</v>
      </c>
      <c r="B12" s="18" t="s">
        <v>900</v>
      </c>
    </row>
    <row r="13" spans="1:2" ht="12.75">
      <c r="A13" s="49" t="s">
        <v>901</v>
      </c>
      <c r="B13" s="50"/>
    </row>
    <row r="14" spans="1:2" ht="12.75">
      <c r="A14" s="49"/>
      <c r="B14" s="50"/>
    </row>
    <row r="15" spans="1:2" ht="12.75">
      <c r="A15" s="49"/>
      <c r="B15" s="50"/>
    </row>
    <row r="16" spans="1:2" ht="12.75">
      <c r="A16" s="19"/>
      <c r="B16" s="19"/>
    </row>
    <row r="17" spans="1:2" ht="12.75">
      <c r="A17" s="16" t="s">
        <v>818</v>
      </c>
      <c r="B17" s="20">
        <v>2020</v>
      </c>
    </row>
    <row r="18" spans="1:2" ht="16.5" customHeight="1">
      <c r="A18" s="21" t="s">
        <v>819</v>
      </c>
      <c r="B18" s="22"/>
    </row>
    <row r="19" spans="1:2" ht="12.75">
      <c r="A19" s="23" t="s">
        <v>820</v>
      </c>
      <c r="B19" s="36" t="s">
        <v>990</v>
      </c>
    </row>
    <row r="20" spans="1:2" ht="12.75">
      <c r="A20" s="23" t="s">
        <v>821</v>
      </c>
      <c r="B20" s="36" t="s">
        <v>991</v>
      </c>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N332"/>
  <sheetViews>
    <sheetView showGridLines="0" zoomScale="85" zoomScaleNormal="85" zoomScalePageLayoutView="0" workbookViewId="0" topLeftCell="A1">
      <selection activeCell="H4" sqref="H4:H331"/>
    </sheetView>
  </sheetViews>
  <sheetFormatPr defaultColWidth="11.421875" defaultRowHeight="12.75"/>
  <cols>
    <col min="1" max="1" width="10.140625" style="47" bestFit="1" customWidth="1"/>
    <col min="2" max="2" width="9.7109375" style="47" customWidth="1"/>
    <col min="3" max="5" width="12.28125" style="117" customWidth="1"/>
    <col min="6" max="6" width="11.57421875" style="117" customWidth="1"/>
    <col min="7" max="8" width="36.8515625" style="47" customWidth="1"/>
    <col min="9" max="9" width="11.7109375" style="115" bestFit="1" customWidth="1"/>
    <col min="10" max="10" width="10.28125" style="115" customWidth="1"/>
    <col min="11" max="11" width="10.28125" style="116" customWidth="1"/>
    <col min="12" max="12" width="14.00390625" style="116" customWidth="1"/>
    <col min="13" max="13" width="31.00390625" style="47" customWidth="1"/>
    <col min="14" max="14" width="48.28125" style="47" bestFit="1" customWidth="1"/>
    <col min="15" max="16384" width="11.421875" style="47" customWidth="1"/>
  </cols>
  <sheetData>
    <row r="1" spans="1:13" ht="25.5">
      <c r="A1" s="232" t="s">
        <v>943</v>
      </c>
      <c r="B1" s="232"/>
      <c r="C1" s="232"/>
      <c r="D1" s="232"/>
      <c r="E1" s="232"/>
      <c r="F1" s="232"/>
      <c r="G1" s="232"/>
      <c r="H1" s="232"/>
      <c r="I1" s="232"/>
      <c r="J1" s="232"/>
      <c r="K1" s="232"/>
      <c r="L1" s="232"/>
      <c r="M1" s="232"/>
    </row>
    <row r="3" spans="3:12" ht="12.75">
      <c r="C3" s="47"/>
      <c r="D3" s="47"/>
      <c r="E3" s="47"/>
      <c r="F3" s="47"/>
      <c r="I3" s="231" t="s">
        <v>104</v>
      </c>
      <c r="J3" s="231"/>
      <c r="K3" s="31">
        <f>SUM(K5:K65536)</f>
        <v>380188</v>
      </c>
      <c r="L3" s="31">
        <f>SUM(L5:L65536)</f>
        <v>14447662112.14814</v>
      </c>
    </row>
    <row r="4" spans="1:14" s="94" customFormat="1" ht="74.25" customHeight="1">
      <c r="A4" s="153" t="s">
        <v>105</v>
      </c>
      <c r="B4" s="153" t="s">
        <v>106</v>
      </c>
      <c r="C4" s="153" t="s">
        <v>607</v>
      </c>
      <c r="D4" s="154" t="s">
        <v>606</v>
      </c>
      <c r="E4" s="153" t="s">
        <v>614</v>
      </c>
      <c r="F4" s="153" t="s">
        <v>107</v>
      </c>
      <c r="G4" s="153" t="s">
        <v>608</v>
      </c>
      <c r="H4" s="153" t="s">
        <v>108</v>
      </c>
      <c r="I4" s="153" t="s">
        <v>109</v>
      </c>
      <c r="J4" s="153" t="s">
        <v>110</v>
      </c>
      <c r="K4" s="153" t="s">
        <v>111</v>
      </c>
      <c r="L4" s="153" t="s">
        <v>112</v>
      </c>
      <c r="M4" s="153" t="s">
        <v>190</v>
      </c>
      <c r="N4" s="153" t="s">
        <v>191</v>
      </c>
    </row>
    <row r="5" spans="1:14" ht="12.75">
      <c r="A5" s="95" t="str">
        <f>F5</f>
        <v>01/10/2020</v>
      </c>
      <c r="B5" s="96" t="s">
        <v>192</v>
      </c>
      <c r="C5" s="97"/>
      <c r="D5" s="96" t="s">
        <v>480</v>
      </c>
      <c r="E5" s="96" t="s">
        <v>711</v>
      </c>
      <c r="F5" s="98" t="s">
        <v>944</v>
      </c>
      <c r="G5" s="96" t="s">
        <v>193</v>
      </c>
      <c r="H5" s="99" t="s">
        <v>992</v>
      </c>
      <c r="I5" s="100" t="s">
        <v>323</v>
      </c>
      <c r="J5" s="100" t="s">
        <v>326</v>
      </c>
      <c r="K5" s="101"/>
      <c r="L5" s="101">
        <v>25000000</v>
      </c>
      <c r="M5" s="99" t="str">
        <f>VLOOKUP(I5,SDDK!$C$6:$D$201,2,0)</f>
        <v>Tiền mặt tại quỹ, ngân phiếu (VNĐ)</v>
      </c>
      <c r="N5" s="99" t="str">
        <f>VLOOKUP(J5,SDDK!$C$6:$D$201,2,0)</f>
        <v>Tiền gửi ngân hàng (VNĐ)</v>
      </c>
    </row>
    <row r="6" spans="1:14" ht="12.75">
      <c r="A6" s="95" t="str">
        <f aca="true" t="shared" si="0" ref="A6:A69">F6</f>
        <v>01/10/2020</v>
      </c>
      <c r="B6" s="96" t="s">
        <v>194</v>
      </c>
      <c r="C6" s="97"/>
      <c r="D6" s="97"/>
      <c r="E6" s="96"/>
      <c r="F6" s="98" t="s">
        <v>944</v>
      </c>
      <c r="G6" s="96" t="s">
        <v>195</v>
      </c>
      <c r="H6" s="99" t="s">
        <v>993</v>
      </c>
      <c r="I6" s="100" t="s">
        <v>66</v>
      </c>
      <c r="J6" s="100" t="s">
        <v>323</v>
      </c>
      <c r="K6" s="101"/>
      <c r="L6" s="101">
        <v>2000000</v>
      </c>
      <c r="M6" s="99" t="str">
        <f>VLOOKUP(I6,SDDK!$C$6:$D$201,2,0)</f>
        <v>Chi phí hoạt động tài chính (chi khác)</v>
      </c>
      <c r="N6" s="99" t="str">
        <f>VLOOKUP(J6,SDDK!$C$6:$D$201,2,0)</f>
        <v>Tiền mặt tại quỹ, ngân phiếu (VNĐ)</v>
      </c>
    </row>
    <row r="7" spans="1:14" ht="12.75">
      <c r="A7" s="95" t="str">
        <f t="shared" si="0"/>
        <v>01/10/2020</v>
      </c>
      <c r="B7" s="96" t="s">
        <v>194</v>
      </c>
      <c r="C7" s="97"/>
      <c r="D7" s="97"/>
      <c r="E7" s="96"/>
      <c r="F7" s="98" t="s">
        <v>944</v>
      </c>
      <c r="G7" s="96" t="s">
        <v>195</v>
      </c>
      <c r="H7" s="99" t="s">
        <v>994</v>
      </c>
      <c r="I7" s="100" t="s">
        <v>354</v>
      </c>
      <c r="J7" s="100" t="s">
        <v>323</v>
      </c>
      <c r="K7" s="101"/>
      <c r="L7" s="101">
        <f>L6*0.1</f>
        <v>200000</v>
      </c>
      <c r="M7" s="99" t="str">
        <f>VLOOKUP(I7,SDDK!$C$6:$D$201,2,0)</f>
        <v>Thuế GTGT được khấu trừ của hàng hóa, dịch vụ</v>
      </c>
      <c r="N7" s="99" t="str">
        <f>VLOOKUP(J7,SDDK!$C$6:$D$201,2,0)</f>
        <v>Tiền mặt tại quỹ, ngân phiếu (VNĐ)</v>
      </c>
    </row>
    <row r="8" spans="1:14" ht="12.75">
      <c r="A8" s="95" t="str">
        <f t="shared" si="0"/>
        <v>01/10/2020</v>
      </c>
      <c r="B8" s="96" t="s">
        <v>196</v>
      </c>
      <c r="C8" s="97"/>
      <c r="D8" s="97"/>
      <c r="E8" s="96"/>
      <c r="F8" s="98" t="s">
        <v>944</v>
      </c>
      <c r="G8" s="96" t="s">
        <v>193</v>
      </c>
      <c r="H8" s="99" t="s">
        <v>995</v>
      </c>
      <c r="I8" s="100" t="s">
        <v>373</v>
      </c>
      <c r="J8" s="100" t="s">
        <v>323</v>
      </c>
      <c r="K8" s="101"/>
      <c r="L8" s="101">
        <v>500000</v>
      </c>
      <c r="M8" s="99" t="str">
        <f>VLOOKUP(I8,SDDK!$C$6:$D$201,2,0)</f>
        <v>Nguyễn Minh Ngân</v>
      </c>
      <c r="N8" s="99" t="str">
        <f>VLOOKUP(J8,SDDK!$C$6:$D$201,2,0)</f>
        <v>Tiền mặt tại quỹ, ngân phiếu (VNĐ)</v>
      </c>
    </row>
    <row r="9" spans="1:14" ht="12.75">
      <c r="A9" s="95" t="str">
        <f t="shared" si="0"/>
        <v>01/10/2020</v>
      </c>
      <c r="B9" s="96" t="s">
        <v>197</v>
      </c>
      <c r="C9" s="97"/>
      <c r="D9" s="97"/>
      <c r="E9" s="96"/>
      <c r="F9" s="98" t="s">
        <v>944</v>
      </c>
      <c r="G9" s="96" t="s">
        <v>198</v>
      </c>
      <c r="H9" s="99" t="s">
        <v>996</v>
      </c>
      <c r="I9" s="100" t="s">
        <v>96</v>
      </c>
      <c r="J9" s="100" t="s">
        <v>323</v>
      </c>
      <c r="K9" s="101"/>
      <c r="L9" s="101">
        <v>50000</v>
      </c>
      <c r="M9" s="99" t="str">
        <f>VLOOKUP(I9,SDDK!$C$6:$D$201,2,0)</f>
        <v>Chi phí bằng tiền khác quản lý doanh nghiệp</v>
      </c>
      <c r="N9" s="99" t="str">
        <f>VLOOKUP(J9,SDDK!$C$6:$D$201,2,0)</f>
        <v>Tiền mặt tại quỹ, ngân phiếu (VNĐ)</v>
      </c>
    </row>
    <row r="10" spans="1:14" ht="12.75">
      <c r="A10" s="95" t="str">
        <f t="shared" si="0"/>
        <v>01/10/2020</v>
      </c>
      <c r="B10" s="96" t="s">
        <v>199</v>
      </c>
      <c r="C10" s="97"/>
      <c r="D10" s="97"/>
      <c r="E10" s="96"/>
      <c r="F10" s="98" t="s">
        <v>944</v>
      </c>
      <c r="G10" s="96" t="s">
        <v>193</v>
      </c>
      <c r="H10" s="99" t="s">
        <v>997</v>
      </c>
      <c r="I10" s="100" t="s">
        <v>735</v>
      </c>
      <c r="J10" s="100" t="s">
        <v>323</v>
      </c>
      <c r="K10" s="101"/>
      <c r="L10" s="101">
        <v>45620000</v>
      </c>
      <c r="M10" s="99" t="str">
        <f>VLOOKUP(I10,SDDK!$C$6:$D$201,2,0)</f>
        <v>Phải trả công nhân viên</v>
      </c>
      <c r="N10" s="99" t="str">
        <f>VLOOKUP(J10,SDDK!$C$6:$D$201,2,0)</f>
        <v>Tiền mặt tại quỹ, ngân phiếu (VNĐ)</v>
      </c>
    </row>
    <row r="11" spans="1:14" ht="12.75">
      <c r="A11" s="95" t="str">
        <f t="shared" si="0"/>
        <v>02/10/2020</v>
      </c>
      <c r="B11" s="96" t="s">
        <v>200</v>
      </c>
      <c r="C11" s="97"/>
      <c r="D11" s="97"/>
      <c r="E11" s="96"/>
      <c r="F11" s="98" t="s">
        <v>945</v>
      </c>
      <c r="G11" s="96" t="s">
        <v>193</v>
      </c>
      <c r="H11" s="99" t="s">
        <v>998</v>
      </c>
      <c r="I11" s="102" t="s">
        <v>328</v>
      </c>
      <c r="J11" s="102" t="s">
        <v>323</v>
      </c>
      <c r="K11" s="101"/>
      <c r="L11" s="101">
        <v>20000000</v>
      </c>
      <c r="M11" s="99" t="str">
        <f>VLOOKUP(I11,SDDK!$C$6:$D$201,2,0)</f>
        <v>Tiền đang chuyển</v>
      </c>
      <c r="N11" s="99" t="str">
        <f>VLOOKUP(J11,SDDK!$C$6:$D$201,2,0)</f>
        <v>Tiền mặt tại quỹ, ngân phiếu (VNĐ)</v>
      </c>
    </row>
    <row r="12" spans="1:14" ht="12.75">
      <c r="A12" s="95" t="str">
        <f t="shared" si="0"/>
        <v>02/10/2020</v>
      </c>
      <c r="B12" s="96" t="s">
        <v>298</v>
      </c>
      <c r="C12" s="97"/>
      <c r="D12" s="96" t="s">
        <v>946</v>
      </c>
      <c r="E12" s="96" t="s">
        <v>674</v>
      </c>
      <c r="F12" s="98" t="s">
        <v>945</v>
      </c>
      <c r="G12" s="96" t="s">
        <v>201</v>
      </c>
      <c r="H12" s="99" t="s">
        <v>999</v>
      </c>
      <c r="I12" s="100" t="s">
        <v>156</v>
      </c>
      <c r="J12" s="102" t="s">
        <v>328</v>
      </c>
      <c r="K12" s="101">
        <v>1000</v>
      </c>
      <c r="L12" s="101">
        <v>20000000</v>
      </c>
      <c r="M12" s="99" t="str">
        <f>VLOOKUP(I12,SDDK!$C$6:$D$201,2,0)</f>
        <v>Tiền ngoại tệ mặt (USD)</v>
      </c>
      <c r="N12" s="99" t="str">
        <f>VLOOKUP(J12,SDDK!$C$6:$D$201,2,0)</f>
        <v>Tiền đang chuyển</v>
      </c>
    </row>
    <row r="13" spans="1:14" ht="12.75">
      <c r="A13" s="95" t="str">
        <f t="shared" si="0"/>
        <v>02/10/2020</v>
      </c>
      <c r="B13" s="96"/>
      <c r="C13" s="96" t="s">
        <v>202</v>
      </c>
      <c r="D13" s="96"/>
      <c r="E13" s="96" t="s">
        <v>615</v>
      </c>
      <c r="F13" s="98" t="s">
        <v>945</v>
      </c>
      <c r="G13" s="96" t="s">
        <v>203</v>
      </c>
      <c r="H13" s="99" t="s">
        <v>1000</v>
      </c>
      <c r="I13" s="102" t="s">
        <v>375</v>
      </c>
      <c r="J13" s="100" t="s">
        <v>409</v>
      </c>
      <c r="K13" s="101">
        <v>1000</v>
      </c>
      <c r="L13" s="101">
        <f>1000*20200</f>
        <v>20200000</v>
      </c>
      <c r="M13" s="99" t="str">
        <f>VLOOKUP(I13,SDDK!$C$6:$D$201,2,0)</f>
        <v>Sợi thun coton thô</v>
      </c>
      <c r="N13" s="99" t="str">
        <f>VLOOKUP(J13,SDDK!$C$6:$D$201,2,0)</f>
        <v>Phải trả ngắn hạn Công ty LOGITIC</v>
      </c>
    </row>
    <row r="14" spans="1:14" ht="12.75">
      <c r="A14" s="95" t="str">
        <f t="shared" si="0"/>
        <v>02/10/2020</v>
      </c>
      <c r="B14" s="96"/>
      <c r="C14" s="96"/>
      <c r="D14" s="96" t="s">
        <v>481</v>
      </c>
      <c r="E14" s="96" t="s">
        <v>615</v>
      </c>
      <c r="F14" s="98" t="s">
        <v>945</v>
      </c>
      <c r="G14" s="96"/>
      <c r="H14" s="99" t="s">
        <v>1001</v>
      </c>
      <c r="I14" s="102" t="s">
        <v>375</v>
      </c>
      <c r="J14" s="100" t="s">
        <v>434</v>
      </c>
      <c r="K14" s="101"/>
      <c r="L14" s="101">
        <f>L13*0.05</f>
        <v>1010000</v>
      </c>
      <c r="M14" s="99" t="str">
        <f>VLOOKUP(I14,SDDK!$C$6:$D$201,2,0)</f>
        <v>Sợi thun coton thô</v>
      </c>
      <c r="N14" s="99" t="str">
        <f>VLOOKUP(J14,SDDK!$C$6:$D$201,2,0)</f>
        <v>Thuế xuất nhập khẩu</v>
      </c>
    </row>
    <row r="15" spans="1:14" ht="12.75">
      <c r="A15" s="95" t="str">
        <f t="shared" si="0"/>
        <v>02/10/2020</v>
      </c>
      <c r="B15" s="96"/>
      <c r="C15" s="97"/>
      <c r="D15" s="96" t="s">
        <v>481</v>
      </c>
      <c r="E15" s="96" t="s">
        <v>615</v>
      </c>
      <c r="F15" s="98" t="s">
        <v>945</v>
      </c>
      <c r="G15" s="96"/>
      <c r="H15" s="99" t="s">
        <v>1002</v>
      </c>
      <c r="I15" s="100" t="s">
        <v>354</v>
      </c>
      <c r="J15" s="100" t="s">
        <v>429</v>
      </c>
      <c r="K15" s="101"/>
      <c r="L15" s="101">
        <f>(L13+L14)*0.1</f>
        <v>2121000</v>
      </c>
      <c r="M15" s="99" t="str">
        <f>VLOOKUP(I15,SDDK!$C$6:$D$201,2,0)</f>
        <v>Thuế GTGT được khấu trừ của hàng hóa, dịch vụ</v>
      </c>
      <c r="N15" s="99" t="str">
        <f>VLOOKUP(J15,SDDK!$C$6:$D$201,2,0)</f>
        <v>Thuế GTGT hàng nhập khẩu</v>
      </c>
    </row>
    <row r="16" spans="1:14" ht="12.75">
      <c r="A16" s="95" t="str">
        <f t="shared" si="0"/>
        <v>02/10/2020</v>
      </c>
      <c r="B16" s="96" t="s">
        <v>204</v>
      </c>
      <c r="C16" s="96"/>
      <c r="D16" s="96"/>
      <c r="E16" s="97" t="s">
        <v>616</v>
      </c>
      <c r="F16" s="98" t="s">
        <v>945</v>
      </c>
      <c r="G16" s="96" t="s">
        <v>113</v>
      </c>
      <c r="H16" s="99" t="s">
        <v>1003</v>
      </c>
      <c r="I16" s="102" t="s">
        <v>375</v>
      </c>
      <c r="J16" s="100" t="s">
        <v>323</v>
      </c>
      <c r="K16" s="101"/>
      <c r="L16" s="101">
        <v>1000000</v>
      </c>
      <c r="M16" s="99" t="str">
        <f>VLOOKUP(I16,SDDK!$C$6:$D$201,2,0)</f>
        <v>Sợi thun coton thô</v>
      </c>
      <c r="N16" s="99" t="str">
        <f>VLOOKUP(J16,SDDK!$C$6:$D$201,2,0)</f>
        <v>Tiền mặt tại quỹ, ngân phiếu (VNĐ)</v>
      </c>
    </row>
    <row r="17" spans="1:14" ht="12.75">
      <c r="A17" s="95" t="str">
        <f t="shared" si="0"/>
        <v>02/10/2020</v>
      </c>
      <c r="B17" s="96" t="s">
        <v>204</v>
      </c>
      <c r="C17" s="96"/>
      <c r="D17" s="96"/>
      <c r="E17" s="97" t="s">
        <v>616</v>
      </c>
      <c r="F17" s="98" t="s">
        <v>945</v>
      </c>
      <c r="G17" s="96" t="s">
        <v>113</v>
      </c>
      <c r="H17" s="99" t="s">
        <v>994</v>
      </c>
      <c r="I17" s="100" t="s">
        <v>354</v>
      </c>
      <c r="J17" s="100" t="s">
        <v>323</v>
      </c>
      <c r="K17" s="101"/>
      <c r="L17" s="101">
        <f>L16*0.1</f>
        <v>100000</v>
      </c>
      <c r="M17" s="99" t="str">
        <f>VLOOKUP(I17,SDDK!$C$6:$D$201,2,0)</f>
        <v>Thuế GTGT được khấu trừ của hàng hóa, dịch vụ</v>
      </c>
      <c r="N17" s="99" t="str">
        <f>VLOOKUP(J17,SDDK!$C$6:$D$201,2,0)</f>
        <v>Tiền mặt tại quỹ, ngân phiếu (VNĐ)</v>
      </c>
    </row>
    <row r="18" spans="1:14" ht="12.75">
      <c r="A18" s="95" t="str">
        <f t="shared" si="0"/>
        <v>03/10/2020</v>
      </c>
      <c r="B18" s="96" t="s">
        <v>205</v>
      </c>
      <c r="C18" s="97"/>
      <c r="D18" s="97"/>
      <c r="E18" s="97" t="s">
        <v>617</v>
      </c>
      <c r="F18" s="98" t="s">
        <v>947</v>
      </c>
      <c r="G18" s="96" t="s">
        <v>493</v>
      </c>
      <c r="H18" s="99" t="s">
        <v>1004</v>
      </c>
      <c r="I18" s="100" t="s">
        <v>96</v>
      </c>
      <c r="J18" s="100" t="s">
        <v>323</v>
      </c>
      <c r="K18" s="101"/>
      <c r="L18" s="101">
        <v>1200000</v>
      </c>
      <c r="M18" s="99" t="str">
        <f>VLOOKUP(I18,SDDK!$C$6:$D$201,2,0)</f>
        <v>Chi phí bằng tiền khác quản lý doanh nghiệp</v>
      </c>
      <c r="N18" s="99" t="str">
        <f>VLOOKUP(J18,SDDK!$C$6:$D$201,2,0)</f>
        <v>Tiền mặt tại quỹ, ngân phiếu (VNĐ)</v>
      </c>
    </row>
    <row r="19" spans="1:14" ht="12.75">
      <c r="A19" s="95" t="str">
        <f t="shared" si="0"/>
        <v>03/10/2020</v>
      </c>
      <c r="B19" s="96" t="s">
        <v>205</v>
      </c>
      <c r="C19" s="97"/>
      <c r="D19" s="97"/>
      <c r="E19" s="97" t="s">
        <v>617</v>
      </c>
      <c r="F19" s="98" t="s">
        <v>947</v>
      </c>
      <c r="G19" s="96" t="s">
        <v>493</v>
      </c>
      <c r="H19" s="99" t="s">
        <v>994</v>
      </c>
      <c r="I19" s="100" t="s">
        <v>354</v>
      </c>
      <c r="J19" s="100" t="s">
        <v>323</v>
      </c>
      <c r="K19" s="101"/>
      <c r="L19" s="101">
        <v>120000</v>
      </c>
      <c r="M19" s="99" t="str">
        <f>VLOOKUP(I19,SDDK!$C$6:$D$201,2,0)</f>
        <v>Thuế GTGT được khấu trừ của hàng hóa, dịch vụ</v>
      </c>
      <c r="N19" s="99" t="str">
        <f>VLOOKUP(J19,SDDK!$C$6:$D$201,2,0)</f>
        <v>Tiền mặt tại quỹ, ngân phiếu (VNĐ)</v>
      </c>
    </row>
    <row r="20" spans="1:14" ht="12.75">
      <c r="A20" s="95" t="str">
        <f t="shared" si="0"/>
        <v>03/10/2020</v>
      </c>
      <c r="B20" s="96" t="s">
        <v>206</v>
      </c>
      <c r="C20" s="97"/>
      <c r="D20" s="97"/>
      <c r="E20" s="97"/>
      <c r="F20" s="98" t="s">
        <v>947</v>
      </c>
      <c r="G20" s="96" t="s">
        <v>193</v>
      </c>
      <c r="H20" s="99" t="s">
        <v>1005</v>
      </c>
      <c r="I20" s="100" t="s">
        <v>373</v>
      </c>
      <c r="J20" s="100" t="s">
        <v>323</v>
      </c>
      <c r="K20" s="101"/>
      <c r="L20" s="101">
        <v>1000000</v>
      </c>
      <c r="M20" s="99" t="str">
        <f>VLOOKUP(I20,SDDK!$C$6:$D$201,2,0)</f>
        <v>Nguyễn Minh Ngân</v>
      </c>
      <c r="N20" s="99" t="str">
        <f>VLOOKUP(J20,SDDK!$C$6:$D$201,2,0)</f>
        <v>Tiền mặt tại quỹ, ngân phiếu (VNĐ)</v>
      </c>
    </row>
    <row r="21" spans="1:14" ht="12.75">
      <c r="A21" s="95" t="str">
        <f t="shared" si="0"/>
        <v>04/10/2020</v>
      </c>
      <c r="B21" s="96"/>
      <c r="C21" s="96" t="s">
        <v>207</v>
      </c>
      <c r="D21" s="96" t="s">
        <v>483</v>
      </c>
      <c r="E21" s="97" t="s">
        <v>618</v>
      </c>
      <c r="F21" s="98" t="s">
        <v>948</v>
      </c>
      <c r="G21" s="96" t="s">
        <v>758</v>
      </c>
      <c r="H21" s="99" t="s">
        <v>1006</v>
      </c>
      <c r="I21" s="100" t="s">
        <v>376</v>
      </c>
      <c r="J21" s="100" t="s">
        <v>413</v>
      </c>
      <c r="K21" s="101">
        <v>500</v>
      </c>
      <c r="L21" s="101">
        <f>500*10000</f>
        <v>5000000</v>
      </c>
      <c r="M21" s="99" t="str">
        <f>VLOOKUP(I21,SDDK!$C$6:$D$201,2,0)</f>
        <v>Thuốc nhuộm màu xanh đen C02</v>
      </c>
      <c r="N21" s="99" t="str">
        <f>VLOOKUP(J21,SDDK!$C$6:$D$201,2,0)</f>
        <v>Phải trả ngắn hạn Công ty TNHH An Nam</v>
      </c>
    </row>
    <row r="22" spans="1:14" ht="12.75">
      <c r="A22" s="95" t="str">
        <f t="shared" si="0"/>
        <v>04/10/2020</v>
      </c>
      <c r="B22" s="96"/>
      <c r="C22" s="96"/>
      <c r="D22" s="96" t="s">
        <v>483</v>
      </c>
      <c r="E22" s="97" t="s">
        <v>618</v>
      </c>
      <c r="F22" s="98" t="s">
        <v>948</v>
      </c>
      <c r="G22" s="96" t="s">
        <v>758</v>
      </c>
      <c r="H22" s="99" t="s">
        <v>994</v>
      </c>
      <c r="I22" s="100" t="s">
        <v>354</v>
      </c>
      <c r="J22" s="100" t="s">
        <v>413</v>
      </c>
      <c r="K22" s="101"/>
      <c r="L22" s="101">
        <v>500000</v>
      </c>
      <c r="M22" s="99" t="str">
        <f>VLOOKUP(I22,SDDK!$C$6:$D$201,2,0)</f>
        <v>Thuế GTGT được khấu trừ của hàng hóa, dịch vụ</v>
      </c>
      <c r="N22" s="99" t="str">
        <f>VLOOKUP(J22,SDDK!$C$6:$D$201,2,0)</f>
        <v>Phải trả ngắn hạn Công ty TNHH An Nam</v>
      </c>
    </row>
    <row r="23" spans="1:14" ht="12.75">
      <c r="A23" s="95" t="str">
        <f t="shared" si="0"/>
        <v>05/10/2020</v>
      </c>
      <c r="B23" s="96" t="s">
        <v>208</v>
      </c>
      <c r="C23" s="96" t="s">
        <v>209</v>
      </c>
      <c r="D23" s="96" t="s">
        <v>484</v>
      </c>
      <c r="E23" s="97" t="s">
        <v>619</v>
      </c>
      <c r="F23" s="98" t="s">
        <v>949</v>
      </c>
      <c r="G23" s="96" t="s">
        <v>755</v>
      </c>
      <c r="H23" s="99" t="s">
        <v>1007</v>
      </c>
      <c r="I23" s="100" t="s">
        <v>376</v>
      </c>
      <c r="J23" s="100" t="s">
        <v>323</v>
      </c>
      <c r="K23" s="101">
        <v>300</v>
      </c>
      <c r="L23" s="101">
        <f>300*11000</f>
        <v>3300000</v>
      </c>
      <c r="M23" s="99" t="str">
        <f>VLOOKUP(I23,SDDK!$C$6:$D$201,2,0)</f>
        <v>Thuốc nhuộm màu xanh đen C02</v>
      </c>
      <c r="N23" s="99" t="str">
        <f>VLOOKUP(J23,SDDK!$C$6:$D$201,2,0)</f>
        <v>Tiền mặt tại quỹ, ngân phiếu (VNĐ)</v>
      </c>
    </row>
    <row r="24" spans="1:14" ht="12.75">
      <c r="A24" s="95" t="str">
        <f t="shared" si="0"/>
        <v>05/10/2020</v>
      </c>
      <c r="B24" s="96" t="s">
        <v>208</v>
      </c>
      <c r="C24" s="96"/>
      <c r="D24" s="96" t="s">
        <v>484</v>
      </c>
      <c r="E24" s="97" t="s">
        <v>619</v>
      </c>
      <c r="F24" s="98" t="s">
        <v>949</v>
      </c>
      <c r="G24" s="96" t="s">
        <v>755</v>
      </c>
      <c r="H24" s="99" t="s">
        <v>994</v>
      </c>
      <c r="I24" s="100" t="s">
        <v>354</v>
      </c>
      <c r="J24" s="100" t="s">
        <v>323</v>
      </c>
      <c r="K24" s="101"/>
      <c r="L24" s="101">
        <v>330000</v>
      </c>
      <c r="M24" s="99" t="str">
        <f>VLOOKUP(I24,SDDK!$C$6:$D$201,2,0)</f>
        <v>Thuế GTGT được khấu trừ của hàng hóa, dịch vụ</v>
      </c>
      <c r="N24" s="99" t="str">
        <f>VLOOKUP(J24,SDDK!$C$6:$D$201,2,0)</f>
        <v>Tiền mặt tại quỹ, ngân phiếu (VNĐ)</v>
      </c>
    </row>
    <row r="25" spans="1:14" ht="12.75">
      <c r="A25" s="95" t="str">
        <f t="shared" si="0"/>
        <v>05/10/2020</v>
      </c>
      <c r="B25" s="96" t="s">
        <v>210</v>
      </c>
      <c r="C25" s="96" t="s">
        <v>211</v>
      </c>
      <c r="D25" s="96" t="s">
        <v>485</v>
      </c>
      <c r="E25" s="97" t="s">
        <v>620</v>
      </c>
      <c r="F25" s="98" t="s">
        <v>949</v>
      </c>
      <c r="G25" s="96" t="s">
        <v>114</v>
      </c>
      <c r="H25" s="99" t="s">
        <v>1008</v>
      </c>
      <c r="I25" s="102" t="s">
        <v>379</v>
      </c>
      <c r="J25" s="100" t="s">
        <v>323</v>
      </c>
      <c r="K25" s="101">
        <v>3000</v>
      </c>
      <c r="L25" s="101">
        <f>K25*2500</f>
        <v>7500000</v>
      </c>
      <c r="M25" s="99" t="str">
        <f>VLOOKUP(I25,SDDK!$C$6:$D$201,2,0)</f>
        <v>Ốc vít, bù loong.</v>
      </c>
      <c r="N25" s="99" t="str">
        <f>VLOOKUP(J25,SDDK!$C$6:$D$201,2,0)</f>
        <v>Tiền mặt tại quỹ, ngân phiếu (VNĐ)</v>
      </c>
    </row>
    <row r="26" spans="1:14" ht="12.75">
      <c r="A26" s="95" t="str">
        <f t="shared" si="0"/>
        <v>05/10/2020</v>
      </c>
      <c r="B26" s="96" t="s">
        <v>210</v>
      </c>
      <c r="C26" s="96"/>
      <c r="D26" s="96" t="s">
        <v>485</v>
      </c>
      <c r="E26" s="97" t="s">
        <v>620</v>
      </c>
      <c r="F26" s="98" t="s">
        <v>949</v>
      </c>
      <c r="G26" s="96" t="s">
        <v>114</v>
      </c>
      <c r="H26" s="99" t="s">
        <v>994</v>
      </c>
      <c r="I26" s="100" t="s">
        <v>354</v>
      </c>
      <c r="J26" s="100" t="s">
        <v>323</v>
      </c>
      <c r="K26" s="101"/>
      <c r="L26" s="101">
        <f>L25*0.1</f>
        <v>750000</v>
      </c>
      <c r="M26" s="99" t="str">
        <f>VLOOKUP(I26,SDDK!$C$6:$D$201,2,0)</f>
        <v>Thuế GTGT được khấu trừ của hàng hóa, dịch vụ</v>
      </c>
      <c r="N26" s="99" t="str">
        <f>VLOOKUP(J26,SDDK!$C$6:$D$201,2,0)</f>
        <v>Tiền mặt tại quỹ, ngân phiếu (VNĐ)</v>
      </c>
    </row>
    <row r="27" spans="1:14" ht="12.75">
      <c r="A27" s="95" t="str">
        <f t="shared" si="0"/>
        <v>05/10/2020</v>
      </c>
      <c r="B27" s="96" t="s">
        <v>212</v>
      </c>
      <c r="C27" s="97"/>
      <c r="D27" s="97"/>
      <c r="E27" s="97"/>
      <c r="F27" s="98" t="s">
        <v>949</v>
      </c>
      <c r="G27" s="96" t="s">
        <v>193</v>
      </c>
      <c r="H27" s="99" t="s">
        <v>1009</v>
      </c>
      <c r="I27" s="100" t="s">
        <v>323</v>
      </c>
      <c r="J27" s="100" t="s">
        <v>732</v>
      </c>
      <c r="K27" s="101"/>
      <c r="L27" s="101">
        <v>100000000</v>
      </c>
      <c r="M27" s="99" t="str">
        <f>VLOOKUP(I27,SDDK!$C$6:$D$201,2,0)</f>
        <v>Tiền mặt tại quỹ, ngân phiếu (VNĐ)</v>
      </c>
      <c r="N27" s="99" t="str">
        <f>VLOOKUP(J27,SDDK!$C$6:$D$201,2,0)</f>
        <v>Các khoản đi vay ngắn hạn.</v>
      </c>
    </row>
    <row r="28" spans="1:14" ht="12.75">
      <c r="A28" s="95" t="str">
        <f t="shared" si="0"/>
        <v>05/10/2020</v>
      </c>
      <c r="B28" s="96" t="s">
        <v>213</v>
      </c>
      <c r="C28" s="97"/>
      <c r="D28" s="97"/>
      <c r="E28" s="97"/>
      <c r="F28" s="98" t="s">
        <v>949</v>
      </c>
      <c r="G28" s="96" t="s">
        <v>193</v>
      </c>
      <c r="H28" s="99" t="s">
        <v>1010</v>
      </c>
      <c r="I28" s="100" t="s">
        <v>323</v>
      </c>
      <c r="J28" s="100" t="s">
        <v>373</v>
      </c>
      <c r="K28" s="101"/>
      <c r="L28" s="101">
        <v>100000</v>
      </c>
      <c r="M28" s="99" t="str">
        <f>VLOOKUP(I28,SDDK!$C$6:$D$201,2,0)</f>
        <v>Tiền mặt tại quỹ, ngân phiếu (VNĐ)</v>
      </c>
      <c r="N28" s="99" t="str">
        <f>VLOOKUP(J28,SDDK!$C$6:$D$201,2,0)</f>
        <v>Nguyễn Minh Ngân</v>
      </c>
    </row>
    <row r="29" spans="1:14" ht="12.75">
      <c r="A29" s="95" t="str">
        <f t="shared" si="0"/>
        <v>06/10/2020</v>
      </c>
      <c r="B29" s="96" t="s">
        <v>214</v>
      </c>
      <c r="C29" s="47"/>
      <c r="D29" s="96" t="s">
        <v>486</v>
      </c>
      <c r="E29" s="97" t="s">
        <v>621</v>
      </c>
      <c r="F29" s="98" t="s">
        <v>950</v>
      </c>
      <c r="G29" s="96" t="s">
        <v>115</v>
      </c>
      <c r="H29" s="99" t="s">
        <v>994</v>
      </c>
      <c r="I29" s="100" t="s">
        <v>354</v>
      </c>
      <c r="J29" s="100" t="s">
        <v>323</v>
      </c>
      <c r="K29" s="101"/>
      <c r="L29" s="101">
        <f>L30*0.1</f>
        <v>1250000</v>
      </c>
      <c r="M29" s="99" t="str">
        <f>VLOOKUP(I29,SDDK!$C$6:$D$201,2,0)</f>
        <v>Thuế GTGT được khấu trừ của hàng hóa, dịch vụ</v>
      </c>
      <c r="N29" s="99" t="str">
        <f>VLOOKUP(J29,SDDK!$C$6:$D$201,2,0)</f>
        <v>Tiền mặt tại quỹ, ngân phiếu (VNĐ)</v>
      </c>
    </row>
    <row r="30" spans="1:14" ht="12.75">
      <c r="A30" s="95" t="str">
        <f t="shared" si="0"/>
        <v>06/10/2020</v>
      </c>
      <c r="B30" s="96" t="s">
        <v>214</v>
      </c>
      <c r="C30" s="96" t="s">
        <v>603</v>
      </c>
      <c r="D30" s="96" t="s">
        <v>486</v>
      </c>
      <c r="E30" s="97" t="s">
        <v>621</v>
      </c>
      <c r="F30" s="98" t="s">
        <v>950</v>
      </c>
      <c r="G30" s="96" t="s">
        <v>115</v>
      </c>
      <c r="H30" s="99" t="s">
        <v>1011</v>
      </c>
      <c r="I30" s="100" t="s">
        <v>718</v>
      </c>
      <c r="J30" s="100" t="s">
        <v>323</v>
      </c>
      <c r="K30" s="101">
        <v>50</v>
      </c>
      <c r="L30" s="101">
        <f>K30*250000</f>
        <v>12500000</v>
      </c>
      <c r="M30" s="99" t="str">
        <f>VLOOKUP(I30,SDDK!$C$6:$D$201,2,0)</f>
        <v>Kéo cắt vải</v>
      </c>
      <c r="N30" s="99" t="str">
        <f>VLOOKUP(J30,SDDK!$C$6:$D$201,2,0)</f>
        <v>Tiền mặt tại quỹ, ngân phiếu (VNĐ)</v>
      </c>
    </row>
    <row r="31" spans="1:14" ht="12.75">
      <c r="A31" s="95" t="str">
        <f t="shared" si="0"/>
        <v>07/10/2020</v>
      </c>
      <c r="B31" s="96" t="s">
        <v>215</v>
      </c>
      <c r="C31" s="97"/>
      <c r="D31" s="97"/>
      <c r="E31" s="97"/>
      <c r="F31" s="98" t="s">
        <v>951</v>
      </c>
      <c r="G31" s="96" t="s">
        <v>482</v>
      </c>
      <c r="H31" s="99" t="s">
        <v>1012</v>
      </c>
      <c r="I31" s="100" t="s">
        <v>323</v>
      </c>
      <c r="J31" s="100" t="s">
        <v>369</v>
      </c>
      <c r="K31" s="101"/>
      <c r="L31" s="101">
        <v>200000</v>
      </c>
      <c r="M31" s="99" t="str">
        <f>VLOOKUP(I31,SDDK!$C$6:$D$201,2,0)</f>
        <v>Tiền mặt tại quỹ, ngân phiếu (VNĐ)</v>
      </c>
      <c r="N31" s="99" t="str">
        <f>VLOOKUP(J31,SDDK!$C$6:$D$201,2,0)</f>
        <v>Các khoản phải thu khác</v>
      </c>
    </row>
    <row r="32" spans="1:14" ht="12.75">
      <c r="A32" s="95" t="str">
        <f t="shared" si="0"/>
        <v>07/10/2020</v>
      </c>
      <c r="B32" s="96" t="s">
        <v>216</v>
      </c>
      <c r="C32" s="97"/>
      <c r="D32" s="96" t="s">
        <v>487</v>
      </c>
      <c r="E32" s="96" t="s">
        <v>622</v>
      </c>
      <c r="F32" s="98" t="s">
        <v>951</v>
      </c>
      <c r="G32" s="96" t="s">
        <v>193</v>
      </c>
      <c r="H32" s="99" t="s">
        <v>1013</v>
      </c>
      <c r="I32" s="100" t="s">
        <v>323</v>
      </c>
      <c r="J32" s="100" t="s">
        <v>326</v>
      </c>
      <c r="K32" s="101"/>
      <c r="L32" s="101">
        <v>25000000</v>
      </c>
      <c r="M32" s="99" t="str">
        <f>VLOOKUP(I32,SDDK!$C$6:$D$201,2,0)</f>
        <v>Tiền mặt tại quỹ, ngân phiếu (VNĐ)</v>
      </c>
      <c r="N32" s="99" t="str">
        <f>VLOOKUP(J32,SDDK!$C$6:$D$201,2,0)</f>
        <v>Tiền gửi ngân hàng (VNĐ)</v>
      </c>
    </row>
    <row r="33" spans="1:14" ht="12.75">
      <c r="A33" s="95" t="str">
        <f t="shared" si="0"/>
        <v>08/10/2020</v>
      </c>
      <c r="B33" s="96" t="s">
        <v>217</v>
      </c>
      <c r="C33" s="97"/>
      <c r="D33" s="97"/>
      <c r="E33" s="97"/>
      <c r="F33" s="98" t="s">
        <v>908</v>
      </c>
      <c r="G33" s="96" t="s">
        <v>260</v>
      </c>
      <c r="H33" s="96" t="s">
        <v>1014</v>
      </c>
      <c r="I33" s="100" t="s">
        <v>323</v>
      </c>
      <c r="J33" s="100" t="s">
        <v>340</v>
      </c>
      <c r="K33" s="101"/>
      <c r="L33" s="101">
        <v>40000000</v>
      </c>
      <c r="M33" s="99" t="str">
        <f>VLOOKUP(I33,SDDK!$C$6:$D$201,2,0)</f>
        <v>Tiền mặt tại quỹ, ngân phiếu (VNĐ)</v>
      </c>
      <c r="N33" s="99" t="str">
        <f>VLOOKUP(J33,SDDK!$C$6:$D$201,2,0)</f>
        <v>Phải thu ngắn hạn Công ty Metro</v>
      </c>
    </row>
    <row r="34" spans="1:14" ht="12.75">
      <c r="A34" s="95" t="str">
        <f t="shared" si="0"/>
        <v>08/10/2020</v>
      </c>
      <c r="B34" s="96" t="s">
        <v>218</v>
      </c>
      <c r="C34" s="97"/>
      <c r="D34" s="96" t="s">
        <v>488</v>
      </c>
      <c r="E34" s="96" t="s">
        <v>623</v>
      </c>
      <c r="F34" s="98" t="s">
        <v>908</v>
      </c>
      <c r="G34" s="96" t="s">
        <v>193</v>
      </c>
      <c r="H34" s="99" t="s">
        <v>1013</v>
      </c>
      <c r="I34" s="100" t="s">
        <v>323</v>
      </c>
      <c r="J34" s="100" t="s">
        <v>326</v>
      </c>
      <c r="K34" s="101"/>
      <c r="L34" s="101">
        <v>25000000</v>
      </c>
      <c r="M34" s="99" t="str">
        <f>VLOOKUP(I34,SDDK!$C$6:$D$201,2,0)</f>
        <v>Tiền mặt tại quỹ, ngân phiếu (VNĐ)</v>
      </c>
      <c r="N34" s="99" t="str">
        <f>VLOOKUP(J34,SDDK!$C$6:$D$201,2,0)</f>
        <v>Tiền gửi ngân hàng (VNĐ)</v>
      </c>
    </row>
    <row r="35" spans="1:14" ht="12.75">
      <c r="A35" s="95" t="str">
        <f t="shared" si="0"/>
        <v>08/10/2020</v>
      </c>
      <c r="B35" s="96" t="s">
        <v>219</v>
      </c>
      <c r="C35" s="97"/>
      <c r="D35" s="97"/>
      <c r="E35" s="97" t="s">
        <v>624</v>
      </c>
      <c r="F35" s="98" t="s">
        <v>908</v>
      </c>
      <c r="G35" s="96" t="s">
        <v>494</v>
      </c>
      <c r="H35" s="96" t="s">
        <v>1015</v>
      </c>
      <c r="I35" s="100" t="s">
        <v>323</v>
      </c>
      <c r="J35" s="100" t="s">
        <v>97</v>
      </c>
      <c r="K35" s="101"/>
      <c r="L35" s="101">
        <v>12000000</v>
      </c>
      <c r="M35" s="99" t="str">
        <f>VLOOKUP(I35,SDDK!$C$6:$D$201,2,0)</f>
        <v>Tiền mặt tại quỹ, ngân phiếu (VNĐ)</v>
      </c>
      <c r="N35" s="99" t="str">
        <f>VLOOKUP(J35,SDDK!$C$6:$D$201,2,0)</f>
        <v>Các khoản thu nhập khác - phải nộp thuế thu nhập</v>
      </c>
    </row>
    <row r="36" spans="1:14" ht="12.75">
      <c r="A36" s="95" t="str">
        <f t="shared" si="0"/>
        <v>08/10/2020</v>
      </c>
      <c r="B36" s="96" t="s">
        <v>220</v>
      </c>
      <c r="C36" s="97"/>
      <c r="D36" s="97"/>
      <c r="E36" s="97" t="s">
        <v>624</v>
      </c>
      <c r="F36" s="98" t="s">
        <v>908</v>
      </c>
      <c r="G36" s="96" t="s">
        <v>494</v>
      </c>
      <c r="H36" s="96" t="s">
        <v>1016</v>
      </c>
      <c r="I36" s="100" t="s">
        <v>323</v>
      </c>
      <c r="J36" s="100" t="s">
        <v>161</v>
      </c>
      <c r="K36" s="101"/>
      <c r="L36" s="101">
        <f>L35*0.1</f>
        <v>1200000</v>
      </c>
      <c r="M36" s="99" t="str">
        <f>VLOOKUP(I36,SDDK!$C$6:$D$201,2,0)</f>
        <v>Tiền mặt tại quỹ, ngân phiếu (VNĐ)</v>
      </c>
      <c r="N36" s="99" t="str">
        <f>VLOOKUP(J36,SDDK!$C$6:$D$201,2,0)</f>
        <v>Thuế GTGT đầu ra hoạt động kinh doanh</v>
      </c>
    </row>
    <row r="37" spans="1:14" ht="12.75">
      <c r="A37" s="95" t="str">
        <f t="shared" si="0"/>
        <v>09/10/2020</v>
      </c>
      <c r="B37" s="96" t="s">
        <v>221</v>
      </c>
      <c r="C37" s="97"/>
      <c r="D37" s="97"/>
      <c r="E37" s="97"/>
      <c r="F37" s="98" t="s">
        <v>952</v>
      </c>
      <c r="G37" s="96" t="s">
        <v>193</v>
      </c>
      <c r="H37" s="96" t="s">
        <v>1010</v>
      </c>
      <c r="I37" s="100" t="s">
        <v>323</v>
      </c>
      <c r="J37" s="100" t="s">
        <v>373</v>
      </c>
      <c r="K37" s="101"/>
      <c r="L37" s="101">
        <v>1000000</v>
      </c>
      <c r="M37" s="99" t="str">
        <f>VLOOKUP(I37,SDDK!$C$6:$D$201,2,0)</f>
        <v>Tiền mặt tại quỹ, ngân phiếu (VNĐ)</v>
      </c>
      <c r="N37" s="99" t="str">
        <f>VLOOKUP(J37,SDDK!$C$6:$D$201,2,0)</f>
        <v>Nguyễn Minh Ngân</v>
      </c>
    </row>
    <row r="38" spans="1:14" ht="12.75">
      <c r="A38" s="95" t="str">
        <f t="shared" si="0"/>
        <v>09/10/2020</v>
      </c>
      <c r="B38" s="96" t="s">
        <v>222</v>
      </c>
      <c r="C38" s="97"/>
      <c r="D38" s="97"/>
      <c r="E38" s="97"/>
      <c r="F38" s="98" t="s">
        <v>952</v>
      </c>
      <c r="G38" s="96" t="s">
        <v>604</v>
      </c>
      <c r="H38" s="96" t="s">
        <v>1017</v>
      </c>
      <c r="I38" s="100" t="s">
        <v>323</v>
      </c>
      <c r="J38" s="100" t="s">
        <v>369</v>
      </c>
      <c r="K38" s="101"/>
      <c r="L38" s="101">
        <v>150000</v>
      </c>
      <c r="M38" s="99" t="str">
        <f>VLOOKUP(I38,SDDK!$C$6:$D$201,2,0)</f>
        <v>Tiền mặt tại quỹ, ngân phiếu (VNĐ)</v>
      </c>
      <c r="N38" s="99" t="str">
        <f>VLOOKUP(J38,SDDK!$C$6:$D$201,2,0)</f>
        <v>Các khoản phải thu khác</v>
      </c>
    </row>
    <row r="39" spans="1:14" ht="12.75">
      <c r="A39" s="95" t="str">
        <f t="shared" si="0"/>
        <v>09/10/2020</v>
      </c>
      <c r="B39" s="96" t="s">
        <v>223</v>
      </c>
      <c r="C39" s="97"/>
      <c r="D39" s="97"/>
      <c r="E39" s="97"/>
      <c r="F39" s="98" t="s">
        <v>952</v>
      </c>
      <c r="G39" s="96" t="s">
        <v>193</v>
      </c>
      <c r="H39" s="96" t="s">
        <v>1018</v>
      </c>
      <c r="I39" s="100" t="s">
        <v>323</v>
      </c>
      <c r="J39" s="100" t="s">
        <v>373</v>
      </c>
      <c r="K39" s="101"/>
      <c r="L39" s="101">
        <v>80000</v>
      </c>
      <c r="M39" s="99" t="str">
        <f>VLOOKUP(I39,SDDK!$C$6:$D$201,2,0)</f>
        <v>Tiền mặt tại quỹ, ngân phiếu (VNĐ)</v>
      </c>
      <c r="N39" s="99" t="str">
        <f>VLOOKUP(J39,SDDK!$C$6:$D$201,2,0)</f>
        <v>Nguyễn Minh Ngân</v>
      </c>
    </row>
    <row r="40" spans="1:14" ht="12.75">
      <c r="A40" s="95" t="str">
        <f t="shared" si="0"/>
        <v>10/10/2020</v>
      </c>
      <c r="B40" s="96" t="s">
        <v>224</v>
      </c>
      <c r="C40" s="97"/>
      <c r="D40" s="96" t="s">
        <v>489</v>
      </c>
      <c r="E40" s="96" t="s">
        <v>625</v>
      </c>
      <c r="F40" s="98" t="s">
        <v>953</v>
      </c>
      <c r="G40" s="96" t="s">
        <v>193</v>
      </c>
      <c r="H40" s="99" t="s">
        <v>1013</v>
      </c>
      <c r="I40" s="100" t="s">
        <v>323</v>
      </c>
      <c r="J40" s="100" t="s">
        <v>326</v>
      </c>
      <c r="K40" s="101"/>
      <c r="L40" s="101">
        <v>15000000</v>
      </c>
      <c r="M40" s="99" t="str">
        <f>VLOOKUP(I40,SDDK!$C$6:$D$201,2,0)</f>
        <v>Tiền mặt tại quỹ, ngân phiếu (VNĐ)</v>
      </c>
      <c r="N40" s="99" t="str">
        <f>VLOOKUP(J40,SDDK!$C$6:$D$201,2,0)</f>
        <v>Tiền gửi ngân hàng (VNĐ)</v>
      </c>
    </row>
    <row r="41" spans="1:14" ht="12.75">
      <c r="A41" s="95" t="str">
        <f t="shared" si="0"/>
        <v>12/10/2020</v>
      </c>
      <c r="B41" s="96" t="s">
        <v>225</v>
      </c>
      <c r="C41" s="97"/>
      <c r="D41" s="97"/>
      <c r="E41" s="97"/>
      <c r="F41" s="98" t="s">
        <v>954</v>
      </c>
      <c r="G41" s="96" t="s">
        <v>193</v>
      </c>
      <c r="H41" s="96" t="s">
        <v>1019</v>
      </c>
      <c r="I41" s="100" t="s">
        <v>180</v>
      </c>
      <c r="J41" s="100" t="s">
        <v>323</v>
      </c>
      <c r="K41" s="101"/>
      <c r="L41" s="101">
        <v>500000</v>
      </c>
      <c r="M41" s="99" t="str">
        <f>VLOOKUP(I41,SDDK!$C$6:$D$201,2,0)</f>
        <v>Quỹ khen thưởng</v>
      </c>
      <c r="N41" s="99" t="str">
        <f>VLOOKUP(J41,SDDK!$C$6:$D$201,2,0)</f>
        <v>Tiền mặt tại quỹ, ngân phiếu (VNĐ)</v>
      </c>
    </row>
    <row r="42" spans="1:14" ht="12.75">
      <c r="A42" s="95" t="str">
        <f t="shared" si="0"/>
        <v>12/10/2015</v>
      </c>
      <c r="B42" s="96" t="s">
        <v>226</v>
      </c>
      <c r="C42" s="97"/>
      <c r="D42" s="97"/>
      <c r="E42" s="97" t="s">
        <v>626</v>
      </c>
      <c r="F42" s="98" t="s">
        <v>712</v>
      </c>
      <c r="G42" s="96" t="s">
        <v>613</v>
      </c>
      <c r="H42" s="96" t="s">
        <v>1020</v>
      </c>
      <c r="I42" s="100" t="s">
        <v>94</v>
      </c>
      <c r="J42" s="100" t="s">
        <v>323</v>
      </c>
      <c r="K42" s="101"/>
      <c r="L42" s="101">
        <v>500000</v>
      </c>
      <c r="M42" s="99" t="str">
        <f>VLOOKUP(I42,SDDK!$C$6:$D$201,2,0)</f>
        <v>Chi phí dịch vụ quản lý doanh nghiệp</v>
      </c>
      <c r="N42" s="99" t="str">
        <f>VLOOKUP(J42,SDDK!$C$6:$D$201,2,0)</f>
        <v>Tiền mặt tại quỹ, ngân phiếu (VNĐ)</v>
      </c>
    </row>
    <row r="43" spans="1:14" ht="12.75">
      <c r="A43" s="95" t="str">
        <f t="shared" si="0"/>
        <v>12/10/2020</v>
      </c>
      <c r="B43" s="96" t="s">
        <v>226</v>
      </c>
      <c r="C43" s="97"/>
      <c r="D43" s="97"/>
      <c r="E43" s="97" t="s">
        <v>626</v>
      </c>
      <c r="F43" s="98" t="s">
        <v>954</v>
      </c>
      <c r="G43" s="96" t="s">
        <v>613</v>
      </c>
      <c r="H43" s="96" t="s">
        <v>994</v>
      </c>
      <c r="I43" s="100" t="s">
        <v>354</v>
      </c>
      <c r="J43" s="100" t="s">
        <v>323</v>
      </c>
      <c r="K43" s="101"/>
      <c r="L43" s="101">
        <f>L42*0.1</f>
        <v>50000</v>
      </c>
      <c r="M43" s="99" t="str">
        <f>VLOOKUP(I43,SDDK!$C$6:$D$201,2,0)</f>
        <v>Thuế GTGT được khấu trừ của hàng hóa, dịch vụ</v>
      </c>
      <c r="N43" s="99" t="str">
        <f>VLOOKUP(J43,SDDK!$C$6:$D$201,2,0)</f>
        <v>Tiền mặt tại quỹ, ngân phiếu (VNĐ)</v>
      </c>
    </row>
    <row r="44" spans="1:14" ht="12.75">
      <c r="A44" s="95" t="str">
        <f t="shared" si="0"/>
        <v>12/10/2020</v>
      </c>
      <c r="B44" s="96" t="s">
        <v>227</v>
      </c>
      <c r="C44" s="97"/>
      <c r="D44" s="96" t="s">
        <v>490</v>
      </c>
      <c r="E44" s="96" t="s">
        <v>675</v>
      </c>
      <c r="F44" s="98" t="s">
        <v>954</v>
      </c>
      <c r="G44" s="96" t="s">
        <v>193</v>
      </c>
      <c r="H44" s="96" t="s">
        <v>1021</v>
      </c>
      <c r="I44" s="100" t="s">
        <v>326</v>
      </c>
      <c r="J44" s="100" t="s">
        <v>323</v>
      </c>
      <c r="K44" s="101"/>
      <c r="L44" s="101">
        <v>40000000</v>
      </c>
      <c r="M44" s="99" t="str">
        <f>VLOOKUP(I44,SDDK!$C$6:$D$201,2,0)</f>
        <v>Tiền gửi ngân hàng (VNĐ)</v>
      </c>
      <c r="N44" s="99" t="str">
        <f>VLOOKUP(J44,SDDK!$C$6:$D$201,2,0)</f>
        <v>Tiền mặt tại quỹ, ngân phiếu (VNĐ)</v>
      </c>
    </row>
    <row r="45" spans="1:14" ht="12.75">
      <c r="A45" s="95" t="str">
        <f t="shared" si="0"/>
        <v>12/10/2020</v>
      </c>
      <c r="B45" s="96"/>
      <c r="C45" s="96" t="s">
        <v>228</v>
      </c>
      <c r="D45" s="96"/>
      <c r="E45" s="97"/>
      <c r="F45" s="98" t="s">
        <v>954</v>
      </c>
      <c r="G45" s="96" t="s">
        <v>602</v>
      </c>
      <c r="H45" s="96" t="s">
        <v>1022</v>
      </c>
      <c r="I45" s="100" t="s">
        <v>29</v>
      </c>
      <c r="J45" s="100" t="s">
        <v>376</v>
      </c>
      <c r="K45" s="101">
        <v>300</v>
      </c>
      <c r="L45" s="101">
        <f>K45*7500</f>
        <v>2250000</v>
      </c>
      <c r="M45" s="99" t="str">
        <f>VLOOKUP(I45,SDDK!$C$6:$D$201,2,0)</f>
        <v>Chi phí NVL trực tiếp cho Dịch vụ sửa chữa</v>
      </c>
      <c r="N45" s="99" t="str">
        <f>VLOOKUP(J45,SDDK!$C$6:$D$201,2,0)</f>
        <v>Thuốc nhuộm màu xanh đen C02</v>
      </c>
    </row>
    <row r="46" spans="1:14" ht="12.75">
      <c r="A46" s="95" t="str">
        <f t="shared" si="0"/>
        <v>12/10/2020</v>
      </c>
      <c r="B46" s="96" t="s">
        <v>229</v>
      </c>
      <c r="C46" s="97"/>
      <c r="D46" s="97"/>
      <c r="E46" s="97"/>
      <c r="F46" s="98" t="s">
        <v>954</v>
      </c>
      <c r="G46" s="96" t="s">
        <v>193</v>
      </c>
      <c r="H46" s="96" t="s">
        <v>1023</v>
      </c>
      <c r="I46" s="100" t="s">
        <v>735</v>
      </c>
      <c r="J46" s="100" t="s">
        <v>323</v>
      </c>
      <c r="K46" s="101"/>
      <c r="L46" s="101">
        <v>35000000</v>
      </c>
      <c r="M46" s="99" t="str">
        <f>VLOOKUP(I46,SDDK!$C$6:$D$201,2,0)</f>
        <v>Phải trả công nhân viên</v>
      </c>
      <c r="N46" s="99" t="str">
        <f>VLOOKUP(J46,SDDK!$C$6:$D$201,2,0)</f>
        <v>Tiền mặt tại quỹ, ngân phiếu (VNĐ)</v>
      </c>
    </row>
    <row r="47" spans="1:14" ht="12.75">
      <c r="A47" s="95" t="str">
        <f t="shared" si="0"/>
        <v>12/10/2020</v>
      </c>
      <c r="B47" s="96" t="s">
        <v>230</v>
      </c>
      <c r="C47" s="96" t="s">
        <v>231</v>
      </c>
      <c r="D47" s="96" t="s">
        <v>491</v>
      </c>
      <c r="E47" s="97" t="s">
        <v>627</v>
      </c>
      <c r="F47" s="98" t="s">
        <v>954</v>
      </c>
      <c r="G47" s="96" t="s">
        <v>113</v>
      </c>
      <c r="H47" s="96" t="s">
        <v>1024</v>
      </c>
      <c r="I47" s="100" t="s">
        <v>376</v>
      </c>
      <c r="J47" s="100" t="s">
        <v>323</v>
      </c>
      <c r="K47" s="101"/>
      <c r="L47" s="101">
        <v>100000</v>
      </c>
      <c r="M47" s="99" t="str">
        <f>VLOOKUP(I47,SDDK!$C$6:$D$201,2,0)</f>
        <v>Thuốc nhuộm màu xanh đen C02</v>
      </c>
      <c r="N47" s="99" t="str">
        <f>VLOOKUP(J47,SDDK!$C$6:$D$201,2,0)</f>
        <v>Tiền mặt tại quỹ, ngân phiếu (VNĐ)</v>
      </c>
    </row>
    <row r="48" spans="1:14" ht="12.75">
      <c r="A48" s="95" t="str">
        <f t="shared" si="0"/>
        <v>12/10/2020</v>
      </c>
      <c r="B48" s="96" t="s">
        <v>230</v>
      </c>
      <c r="C48" s="96"/>
      <c r="D48" s="96" t="s">
        <v>491</v>
      </c>
      <c r="E48" s="97" t="s">
        <v>627</v>
      </c>
      <c r="F48" s="98" t="s">
        <v>954</v>
      </c>
      <c r="G48" s="96" t="s">
        <v>113</v>
      </c>
      <c r="H48" s="96" t="s">
        <v>994</v>
      </c>
      <c r="I48" s="100" t="s">
        <v>354</v>
      </c>
      <c r="J48" s="100" t="s">
        <v>323</v>
      </c>
      <c r="K48" s="101"/>
      <c r="L48" s="101">
        <f>L47*0.1</f>
        <v>10000</v>
      </c>
      <c r="M48" s="99" t="str">
        <f>VLOOKUP(I48,SDDK!$C$6:$D$201,2,0)</f>
        <v>Thuế GTGT được khấu trừ của hàng hóa, dịch vụ</v>
      </c>
      <c r="N48" s="99" t="str">
        <f>VLOOKUP(J48,SDDK!$C$6:$D$201,2,0)</f>
        <v>Tiền mặt tại quỹ, ngân phiếu (VNĐ)</v>
      </c>
    </row>
    <row r="49" spans="1:14" ht="12.75">
      <c r="A49" s="95" t="str">
        <f t="shared" si="0"/>
        <v>12/10/2020</v>
      </c>
      <c r="B49" s="96" t="s">
        <v>232</v>
      </c>
      <c r="C49" s="97"/>
      <c r="D49" s="96" t="s">
        <v>492</v>
      </c>
      <c r="E49" s="97" t="s">
        <v>628</v>
      </c>
      <c r="F49" s="98" t="s">
        <v>954</v>
      </c>
      <c r="G49" s="96" t="s">
        <v>113</v>
      </c>
      <c r="H49" s="96" t="s">
        <v>1025</v>
      </c>
      <c r="I49" s="100" t="s">
        <v>94</v>
      </c>
      <c r="J49" s="100" t="s">
        <v>323</v>
      </c>
      <c r="K49" s="101"/>
      <c r="L49" s="101">
        <v>2000000</v>
      </c>
      <c r="M49" s="99" t="str">
        <f>VLOOKUP(I49,SDDK!$C$6:$D$201,2,0)</f>
        <v>Chi phí dịch vụ quản lý doanh nghiệp</v>
      </c>
      <c r="N49" s="99" t="str">
        <f>VLOOKUP(J49,SDDK!$C$6:$D$201,2,0)</f>
        <v>Tiền mặt tại quỹ, ngân phiếu (VNĐ)</v>
      </c>
    </row>
    <row r="50" spans="1:14" ht="12.75">
      <c r="A50" s="95" t="str">
        <f t="shared" si="0"/>
        <v>12/10/2020</v>
      </c>
      <c r="B50" s="96" t="s">
        <v>232</v>
      </c>
      <c r="C50" s="97"/>
      <c r="D50" s="96" t="s">
        <v>492</v>
      </c>
      <c r="E50" s="97" t="s">
        <v>628</v>
      </c>
      <c r="F50" s="98" t="s">
        <v>954</v>
      </c>
      <c r="G50" s="96" t="s">
        <v>113</v>
      </c>
      <c r="H50" s="96" t="s">
        <v>994</v>
      </c>
      <c r="I50" s="100" t="s">
        <v>354</v>
      </c>
      <c r="J50" s="100" t="s">
        <v>323</v>
      </c>
      <c r="K50" s="101"/>
      <c r="L50" s="101">
        <f>L49*0.1</f>
        <v>200000</v>
      </c>
      <c r="M50" s="99" t="str">
        <f>VLOOKUP(I50,SDDK!$C$6:$D$201,2,0)</f>
        <v>Thuế GTGT được khấu trừ của hàng hóa, dịch vụ</v>
      </c>
      <c r="N50" s="99" t="str">
        <f>VLOOKUP(J50,SDDK!$C$6:$D$201,2,0)</f>
        <v>Tiền mặt tại quỹ, ngân phiếu (VNĐ)</v>
      </c>
    </row>
    <row r="51" spans="1:14" ht="12.75">
      <c r="A51" s="95" t="str">
        <f t="shared" si="0"/>
        <v>12/10/2020</v>
      </c>
      <c r="B51" s="96" t="s">
        <v>233</v>
      </c>
      <c r="C51" s="97"/>
      <c r="D51" s="97"/>
      <c r="E51" s="97" t="s">
        <v>629</v>
      </c>
      <c r="F51" s="98" t="s">
        <v>954</v>
      </c>
      <c r="G51" s="96" t="s">
        <v>113</v>
      </c>
      <c r="H51" s="96" t="s">
        <v>1026</v>
      </c>
      <c r="I51" s="100" t="s">
        <v>50</v>
      </c>
      <c r="J51" s="100" t="s">
        <v>323</v>
      </c>
      <c r="K51" s="101"/>
      <c r="L51" s="101">
        <v>1200000</v>
      </c>
      <c r="M51" s="99" t="str">
        <f>VLOOKUP(I51,SDDK!$C$6:$D$201,2,0)</f>
        <v>Chi phí dịch vụ mua ngoài PX1</v>
      </c>
      <c r="N51" s="99" t="str">
        <f>VLOOKUP(J51,SDDK!$C$6:$D$201,2,0)</f>
        <v>Tiền mặt tại quỹ, ngân phiếu (VNĐ)</v>
      </c>
    </row>
    <row r="52" spans="1:14" ht="12.75">
      <c r="A52" s="95" t="str">
        <f t="shared" si="0"/>
        <v>12/10/2020</v>
      </c>
      <c r="B52" s="96" t="s">
        <v>233</v>
      </c>
      <c r="C52" s="97"/>
      <c r="D52" s="97"/>
      <c r="E52" s="97" t="s">
        <v>629</v>
      </c>
      <c r="F52" s="98" t="s">
        <v>954</v>
      </c>
      <c r="G52" s="96" t="s">
        <v>113</v>
      </c>
      <c r="H52" s="96" t="s">
        <v>994</v>
      </c>
      <c r="I52" s="100" t="s">
        <v>354</v>
      </c>
      <c r="J52" s="100" t="s">
        <v>323</v>
      </c>
      <c r="K52" s="101"/>
      <c r="L52" s="101">
        <f>L51*0.1</f>
        <v>120000</v>
      </c>
      <c r="M52" s="99" t="str">
        <f>VLOOKUP(I52,SDDK!$C$6:$D$201,2,0)</f>
        <v>Thuế GTGT được khấu trừ của hàng hóa, dịch vụ</v>
      </c>
      <c r="N52" s="99" t="str">
        <f>VLOOKUP(J52,SDDK!$C$6:$D$201,2,0)</f>
        <v>Tiền mặt tại quỹ, ngân phiếu (VNĐ)</v>
      </c>
    </row>
    <row r="53" spans="1:14" ht="12.75">
      <c r="A53" s="95" t="str">
        <f t="shared" si="0"/>
        <v>14/10/2020</v>
      </c>
      <c r="B53" s="96" t="s">
        <v>234</v>
      </c>
      <c r="C53" s="97"/>
      <c r="D53" s="97"/>
      <c r="E53" s="97"/>
      <c r="F53" s="98" t="s">
        <v>955</v>
      </c>
      <c r="G53" s="96" t="s">
        <v>193</v>
      </c>
      <c r="H53" s="96" t="s">
        <v>1027</v>
      </c>
      <c r="I53" s="100" t="s">
        <v>373</v>
      </c>
      <c r="J53" s="100" t="s">
        <v>323</v>
      </c>
      <c r="K53" s="101"/>
      <c r="L53" s="101">
        <v>2000000</v>
      </c>
      <c r="M53" s="99" t="str">
        <f>VLOOKUP(I53,SDDK!$C$6:$D$201,2,0)</f>
        <v>Nguyễn Minh Ngân</v>
      </c>
      <c r="N53" s="99" t="str">
        <f>VLOOKUP(J53,SDDK!$C$6:$D$201,2,0)</f>
        <v>Tiền mặt tại quỹ, ngân phiếu (VNĐ)</v>
      </c>
    </row>
    <row r="54" spans="1:14" ht="12.75">
      <c r="A54" s="95" t="str">
        <f t="shared" si="0"/>
        <v>14/10/2020</v>
      </c>
      <c r="B54" s="96" t="s">
        <v>235</v>
      </c>
      <c r="C54" s="97"/>
      <c r="D54" s="97"/>
      <c r="E54" s="97" t="s">
        <v>630</v>
      </c>
      <c r="F54" s="98" t="s">
        <v>955</v>
      </c>
      <c r="G54" s="96" t="s">
        <v>116</v>
      </c>
      <c r="H54" s="96" t="s">
        <v>1028</v>
      </c>
      <c r="I54" s="100" t="s">
        <v>387</v>
      </c>
      <c r="J54" s="102" t="s">
        <v>323</v>
      </c>
      <c r="K54" s="101"/>
      <c r="L54" s="101">
        <v>35000000</v>
      </c>
      <c r="M54" s="99" t="str">
        <f>VLOOKUP(I54,SDDK!$C$6:$D$201,2,0)</f>
        <v>Nguyên giá tài sản cố định hữu hình</v>
      </c>
      <c r="N54" s="99" t="str">
        <f>VLOOKUP(J54,SDDK!$C$6:$D$201,2,0)</f>
        <v>Tiền mặt tại quỹ, ngân phiếu (VNĐ)</v>
      </c>
    </row>
    <row r="55" spans="1:14" ht="12.75">
      <c r="A55" s="95" t="str">
        <f t="shared" si="0"/>
        <v>14/10/2020</v>
      </c>
      <c r="B55" s="96" t="s">
        <v>235</v>
      </c>
      <c r="C55" s="97"/>
      <c r="D55" s="97"/>
      <c r="E55" s="97" t="s">
        <v>630</v>
      </c>
      <c r="F55" s="98" t="s">
        <v>955</v>
      </c>
      <c r="G55" s="96" t="s">
        <v>116</v>
      </c>
      <c r="H55" s="96" t="s">
        <v>994</v>
      </c>
      <c r="I55" s="100" t="s">
        <v>356</v>
      </c>
      <c r="J55" s="102" t="s">
        <v>323</v>
      </c>
      <c r="K55" s="101"/>
      <c r="L55" s="101">
        <f>L54*0.1</f>
        <v>3500000</v>
      </c>
      <c r="M55" s="99" t="str">
        <f>VLOOKUP(I55,SDDK!$C$6:$D$201,2,0)</f>
        <v>Thuế GTGT được khấu trừ của TSCĐ</v>
      </c>
      <c r="N55" s="99" t="str">
        <f>VLOOKUP(J55,SDDK!$C$6:$D$201,2,0)</f>
        <v>Tiền mặt tại quỹ, ngân phiếu (VNĐ)</v>
      </c>
    </row>
    <row r="56" spans="1:14" ht="12.75">
      <c r="A56" s="95" t="str">
        <f t="shared" si="0"/>
        <v>14/10/2020</v>
      </c>
      <c r="B56" s="96" t="s">
        <v>236</v>
      </c>
      <c r="C56" s="97"/>
      <c r="D56" s="97"/>
      <c r="E56" s="97"/>
      <c r="F56" s="98" t="s">
        <v>955</v>
      </c>
      <c r="G56" s="96" t="s">
        <v>193</v>
      </c>
      <c r="H56" s="96" t="s">
        <v>1029</v>
      </c>
      <c r="I56" s="100" t="s">
        <v>335</v>
      </c>
      <c r="J56" s="100" t="s">
        <v>323</v>
      </c>
      <c r="K56" s="101"/>
      <c r="L56" s="101">
        <v>30000000</v>
      </c>
      <c r="M56" s="99" t="str">
        <f>VLOOKUP(I56,SDDK!$C$6:$D$201,2,0)</f>
        <v>Tín phiếu kho bạc (không quá 3 tháng)</v>
      </c>
      <c r="N56" s="99" t="str">
        <f>VLOOKUP(J56,SDDK!$C$6:$D$201,2,0)</f>
        <v>Tiền mặt tại quỹ, ngân phiếu (VNĐ)</v>
      </c>
    </row>
    <row r="57" spans="1:14" ht="12.75">
      <c r="A57" s="95" t="str">
        <f t="shared" si="0"/>
        <v>14/10/2020</v>
      </c>
      <c r="B57" s="96" t="s">
        <v>237</v>
      </c>
      <c r="C57" s="97"/>
      <c r="D57" s="97"/>
      <c r="E57" s="97"/>
      <c r="F57" s="98" t="s">
        <v>955</v>
      </c>
      <c r="G57" s="96" t="s">
        <v>193</v>
      </c>
      <c r="H57" s="96" t="s">
        <v>1030</v>
      </c>
      <c r="I57" s="100" t="s">
        <v>391</v>
      </c>
      <c r="J57" s="100" t="s">
        <v>323</v>
      </c>
      <c r="K57" s="101"/>
      <c r="L57" s="101">
        <v>40000000</v>
      </c>
      <c r="M57" s="99" t="str">
        <f>VLOOKUP(I57,SDDK!$C$6:$D$201,2,0)</f>
        <v>Tài sản cố định vô hình</v>
      </c>
      <c r="N57" s="99" t="str">
        <f>VLOOKUP(J57,SDDK!$C$6:$D$201,2,0)</f>
        <v>Tiền mặt tại quỹ, ngân phiếu (VNĐ)</v>
      </c>
    </row>
    <row r="58" spans="1:14" ht="12.75">
      <c r="A58" s="95" t="str">
        <f t="shared" si="0"/>
        <v>15/10/2020</v>
      </c>
      <c r="B58" s="96" t="s">
        <v>238</v>
      </c>
      <c r="C58" s="97"/>
      <c r="D58" s="97"/>
      <c r="E58" s="97"/>
      <c r="F58" s="98" t="s">
        <v>956</v>
      </c>
      <c r="G58" s="96" t="s">
        <v>193</v>
      </c>
      <c r="H58" s="96" t="s">
        <v>1005</v>
      </c>
      <c r="I58" s="100" t="s">
        <v>373</v>
      </c>
      <c r="J58" s="100" t="s">
        <v>323</v>
      </c>
      <c r="K58" s="101"/>
      <c r="L58" s="101">
        <v>400000</v>
      </c>
      <c r="M58" s="99" t="str">
        <f>VLOOKUP(I58,SDDK!$C$6:$D$201,2,0)</f>
        <v>Nguyễn Minh Ngân</v>
      </c>
      <c r="N58" s="99" t="str">
        <f>VLOOKUP(J58,SDDK!$C$6:$D$201,2,0)</f>
        <v>Tiền mặt tại quỹ, ngân phiếu (VNĐ)</v>
      </c>
    </row>
    <row r="59" spans="1:14" ht="12.75">
      <c r="A59" s="95" t="str">
        <f t="shared" si="0"/>
        <v>15/10/2020</v>
      </c>
      <c r="B59" s="96" t="s">
        <v>239</v>
      </c>
      <c r="C59" s="97"/>
      <c r="D59" s="97"/>
      <c r="E59" s="97"/>
      <c r="F59" s="98" t="s">
        <v>956</v>
      </c>
      <c r="G59" s="96" t="s">
        <v>605</v>
      </c>
      <c r="H59" s="96" t="s">
        <v>1031</v>
      </c>
      <c r="I59" s="100" t="s">
        <v>172</v>
      </c>
      <c r="J59" s="100" t="s">
        <v>323</v>
      </c>
      <c r="K59" s="101"/>
      <c r="L59" s="101">
        <v>1500000</v>
      </c>
      <c r="M59" s="99" t="str">
        <f>VLOOKUP(I59,SDDK!$C$6:$D$201,2,0)</f>
        <v>Kinh phí công đoàn</v>
      </c>
      <c r="N59" s="99" t="str">
        <f>VLOOKUP(J59,SDDK!$C$6:$D$201,2,0)</f>
        <v>Tiền mặt tại quỹ, ngân phiếu (VNĐ)</v>
      </c>
    </row>
    <row r="60" spans="1:14" ht="12.75">
      <c r="A60" s="95" t="str">
        <f t="shared" si="0"/>
        <v>15/10/2020</v>
      </c>
      <c r="B60" s="96" t="s">
        <v>240</v>
      </c>
      <c r="C60" s="97"/>
      <c r="D60" s="97"/>
      <c r="E60" s="97"/>
      <c r="F60" s="98" t="s">
        <v>956</v>
      </c>
      <c r="G60" s="96" t="s">
        <v>771</v>
      </c>
      <c r="H60" s="96" t="s">
        <v>1032</v>
      </c>
      <c r="I60" s="100" t="s">
        <v>421</v>
      </c>
      <c r="J60" s="100" t="s">
        <v>323</v>
      </c>
      <c r="K60" s="101"/>
      <c r="L60" s="101">
        <v>10000000</v>
      </c>
      <c r="M60" s="99" t="str">
        <f>VLOOKUP(I60,SDDK!$C$6:$D$201,2,0)</f>
        <v>Phải trả ngắn hạn Công ty TNHH Yến Phi</v>
      </c>
      <c r="N60" s="99" t="str">
        <f>VLOOKUP(J60,SDDK!$C$6:$D$201,2,0)</f>
        <v>Tiền mặt tại quỹ, ngân phiếu (VNĐ)</v>
      </c>
    </row>
    <row r="61" spans="1:14" ht="12.75">
      <c r="A61" s="95" t="str">
        <f t="shared" si="0"/>
        <v>15/10/2020</v>
      </c>
      <c r="B61" s="96" t="s">
        <v>241</v>
      </c>
      <c r="C61" s="96" t="s">
        <v>242</v>
      </c>
      <c r="D61" s="96" t="s">
        <v>495</v>
      </c>
      <c r="E61" s="97" t="s">
        <v>631</v>
      </c>
      <c r="F61" s="98" t="s">
        <v>956</v>
      </c>
      <c r="G61" s="96" t="s">
        <v>117</v>
      </c>
      <c r="H61" s="96" t="s">
        <v>1033</v>
      </c>
      <c r="I61" s="100" t="s">
        <v>718</v>
      </c>
      <c r="J61" s="100" t="s">
        <v>323</v>
      </c>
      <c r="K61" s="101">
        <v>62</v>
      </c>
      <c r="L61" s="101">
        <f>K61*247000</f>
        <v>15314000</v>
      </c>
      <c r="M61" s="99" t="str">
        <f>VLOOKUP(I61,SDDK!$C$6:$D$201,2,0)</f>
        <v>Kéo cắt vải</v>
      </c>
      <c r="N61" s="99" t="str">
        <f>VLOOKUP(J61,SDDK!$C$6:$D$201,2,0)</f>
        <v>Tiền mặt tại quỹ, ngân phiếu (VNĐ)</v>
      </c>
    </row>
    <row r="62" spans="1:14" ht="12.75">
      <c r="A62" s="95" t="str">
        <f t="shared" si="0"/>
        <v>15/10/2020</v>
      </c>
      <c r="B62" s="96" t="s">
        <v>241</v>
      </c>
      <c r="C62" s="96"/>
      <c r="D62" s="96" t="s">
        <v>495</v>
      </c>
      <c r="E62" s="97" t="s">
        <v>631</v>
      </c>
      <c r="F62" s="98" t="s">
        <v>956</v>
      </c>
      <c r="G62" s="96" t="s">
        <v>117</v>
      </c>
      <c r="H62" s="96" t="s">
        <v>994</v>
      </c>
      <c r="I62" s="100" t="s">
        <v>354</v>
      </c>
      <c r="J62" s="100" t="s">
        <v>323</v>
      </c>
      <c r="K62" s="101"/>
      <c r="L62" s="101">
        <v>1531400</v>
      </c>
      <c r="M62" s="99" t="str">
        <f>VLOOKUP(I62,SDDK!$C$6:$D$201,2,0)</f>
        <v>Thuế GTGT được khấu trừ của hàng hóa, dịch vụ</v>
      </c>
      <c r="N62" s="99" t="str">
        <f>VLOOKUP(J62,SDDK!$C$6:$D$201,2,0)</f>
        <v>Tiền mặt tại quỹ, ngân phiếu (VNĐ)</v>
      </c>
    </row>
    <row r="63" spans="1:14" ht="12.75">
      <c r="A63" s="95" t="str">
        <f t="shared" si="0"/>
        <v>16/10/2020</v>
      </c>
      <c r="B63" s="96"/>
      <c r="C63" s="96" t="s">
        <v>243</v>
      </c>
      <c r="D63" s="96" t="s">
        <v>496</v>
      </c>
      <c r="E63" s="97" t="s">
        <v>632</v>
      </c>
      <c r="F63" s="98" t="s">
        <v>957</v>
      </c>
      <c r="G63" s="96" t="s">
        <v>749</v>
      </c>
      <c r="H63" s="96" t="s">
        <v>1034</v>
      </c>
      <c r="I63" s="100" t="s">
        <v>376</v>
      </c>
      <c r="J63" s="100" t="s">
        <v>412</v>
      </c>
      <c r="K63" s="101">
        <v>10000</v>
      </c>
      <c r="L63" s="101">
        <f>1000*10500</f>
        <v>10500000</v>
      </c>
      <c r="M63" s="99" t="str">
        <f>VLOOKUP(I63,SDDK!$C$6:$D$201,2,0)</f>
        <v>Thuốc nhuộm màu xanh đen C02</v>
      </c>
      <c r="N63" s="99" t="str">
        <f>VLOOKUP(J63,SDDK!$C$6:$D$201,2,0)</f>
        <v>Phải trả ngắn hạn Công ty TNHH Mỹ Lệ</v>
      </c>
    </row>
    <row r="64" spans="1:14" ht="12.75">
      <c r="A64" s="95" t="str">
        <f t="shared" si="0"/>
        <v>16/10/2020</v>
      </c>
      <c r="B64" s="96"/>
      <c r="C64" s="96"/>
      <c r="D64" s="96" t="s">
        <v>496</v>
      </c>
      <c r="E64" s="97" t="s">
        <v>632</v>
      </c>
      <c r="F64" s="98" t="s">
        <v>957</v>
      </c>
      <c r="G64" s="96" t="s">
        <v>749</v>
      </c>
      <c r="H64" s="96" t="s">
        <v>994</v>
      </c>
      <c r="I64" s="100" t="s">
        <v>354</v>
      </c>
      <c r="J64" s="100" t="s">
        <v>412</v>
      </c>
      <c r="K64" s="101"/>
      <c r="L64" s="101">
        <v>1050000</v>
      </c>
      <c r="M64" s="99" t="str">
        <f>VLOOKUP(I64,SDDK!$C$6:$D$201,2,0)</f>
        <v>Thuế GTGT được khấu trừ của hàng hóa, dịch vụ</v>
      </c>
      <c r="N64" s="99" t="str">
        <f>VLOOKUP(J64,SDDK!$C$6:$D$201,2,0)</f>
        <v>Phải trả ngắn hạn Công ty TNHH Mỹ Lệ</v>
      </c>
    </row>
    <row r="65" spans="1:14" ht="12.75">
      <c r="A65" s="95" t="str">
        <f t="shared" si="0"/>
        <v>16/10/2020</v>
      </c>
      <c r="B65" s="96"/>
      <c r="C65" s="96" t="s">
        <v>244</v>
      </c>
      <c r="D65" s="96" t="s">
        <v>497</v>
      </c>
      <c r="E65" s="97" t="s">
        <v>633</v>
      </c>
      <c r="F65" s="98" t="s">
        <v>957</v>
      </c>
      <c r="G65" s="96" t="s">
        <v>750</v>
      </c>
      <c r="H65" s="96" t="s">
        <v>1035</v>
      </c>
      <c r="I65" s="102" t="s">
        <v>375</v>
      </c>
      <c r="J65" s="100" t="s">
        <v>410</v>
      </c>
      <c r="K65" s="101">
        <v>9286</v>
      </c>
      <c r="L65" s="101">
        <f>9286*19000</f>
        <v>176434000</v>
      </c>
      <c r="M65" s="99" t="str">
        <f>VLOOKUP(I65,SDDK!$C$6:$D$201,2,0)</f>
        <v>Sợi thun coton thô</v>
      </c>
      <c r="N65" s="99" t="str">
        <f>VLOOKUP(J65,SDDK!$C$6:$D$201,2,0)</f>
        <v>Phải trả ngắn hạn Công ty TNHH Khanh Hòa</v>
      </c>
    </row>
    <row r="66" spans="1:14" ht="12.75">
      <c r="A66" s="95" t="str">
        <f t="shared" si="0"/>
        <v>16/10/2020</v>
      </c>
      <c r="B66" s="96"/>
      <c r="C66" s="96"/>
      <c r="D66" s="96" t="s">
        <v>497</v>
      </c>
      <c r="E66" s="97" t="s">
        <v>633</v>
      </c>
      <c r="F66" s="98" t="s">
        <v>957</v>
      </c>
      <c r="G66" s="96" t="s">
        <v>750</v>
      </c>
      <c r="H66" s="96" t="s">
        <v>994</v>
      </c>
      <c r="I66" s="100" t="s">
        <v>354</v>
      </c>
      <c r="J66" s="100" t="s">
        <v>410</v>
      </c>
      <c r="K66" s="101"/>
      <c r="L66" s="101">
        <v>17643400</v>
      </c>
      <c r="M66" s="99" t="str">
        <f>VLOOKUP(I66,SDDK!$C$6:$D$201,2,0)</f>
        <v>Thuế GTGT được khấu trừ của hàng hóa, dịch vụ</v>
      </c>
      <c r="N66" s="99" t="str">
        <f>VLOOKUP(J66,SDDK!$C$6:$D$201,2,0)</f>
        <v>Phải trả ngắn hạn Công ty TNHH Khanh Hòa</v>
      </c>
    </row>
    <row r="67" spans="1:14" ht="12.75">
      <c r="A67" s="95" t="str">
        <f t="shared" si="0"/>
        <v>17/10/2020</v>
      </c>
      <c r="B67" s="96"/>
      <c r="C67" s="96" t="s">
        <v>245</v>
      </c>
      <c r="D67" s="96" t="s">
        <v>498</v>
      </c>
      <c r="E67" s="97" t="s">
        <v>634</v>
      </c>
      <c r="F67" s="98" t="s">
        <v>958</v>
      </c>
      <c r="G67" s="96" t="s">
        <v>751</v>
      </c>
      <c r="H67" s="96" t="s">
        <v>1036</v>
      </c>
      <c r="I67" s="102" t="s">
        <v>378</v>
      </c>
      <c r="J67" s="100" t="s">
        <v>411</v>
      </c>
      <c r="K67" s="101">
        <v>300</v>
      </c>
      <c r="L67" s="101">
        <f>300*16500</f>
        <v>4950000</v>
      </c>
      <c r="M67" s="99" t="str">
        <f>VLOOKUP(I67,SDDK!$C$6:$D$201,2,0)</f>
        <v>Nhiên liệu Dầu nhớt Deizel</v>
      </c>
      <c r="N67" s="99" t="str">
        <f>VLOOKUP(J67,SDDK!$C$6:$D$201,2,0)</f>
        <v>Phải trả ngắn hạn Công ty TNHH Linh Lan</v>
      </c>
    </row>
    <row r="68" spans="1:14" ht="12.75">
      <c r="A68" s="95" t="str">
        <f t="shared" si="0"/>
        <v>17/10/2020</v>
      </c>
      <c r="B68" s="96"/>
      <c r="C68" s="96"/>
      <c r="D68" s="96" t="s">
        <v>498</v>
      </c>
      <c r="E68" s="97" t="s">
        <v>634</v>
      </c>
      <c r="F68" s="98" t="s">
        <v>958</v>
      </c>
      <c r="G68" s="96" t="s">
        <v>751</v>
      </c>
      <c r="H68" s="96" t="s">
        <v>994</v>
      </c>
      <c r="I68" s="100" t="s">
        <v>354</v>
      </c>
      <c r="J68" s="100" t="s">
        <v>411</v>
      </c>
      <c r="K68" s="101"/>
      <c r="L68" s="101">
        <v>495000</v>
      </c>
      <c r="M68" s="99" t="str">
        <f>VLOOKUP(I68,SDDK!$C$6:$D$201,2,0)</f>
        <v>Thuế GTGT được khấu trừ của hàng hóa, dịch vụ</v>
      </c>
      <c r="N68" s="99" t="str">
        <f>VLOOKUP(J68,SDDK!$C$6:$D$201,2,0)</f>
        <v>Phải trả ngắn hạn Công ty TNHH Linh Lan</v>
      </c>
    </row>
    <row r="69" spans="1:14" ht="12.75">
      <c r="A69" s="95" t="str">
        <f t="shared" si="0"/>
        <v>17/10/2020</v>
      </c>
      <c r="B69" s="96"/>
      <c r="C69" s="96" t="s">
        <v>246</v>
      </c>
      <c r="D69" s="96" t="s">
        <v>499</v>
      </c>
      <c r="E69" s="97" t="s">
        <v>635</v>
      </c>
      <c r="F69" s="98" t="s">
        <v>958</v>
      </c>
      <c r="G69" s="96" t="s">
        <v>752</v>
      </c>
      <c r="H69" s="96" t="s">
        <v>1034</v>
      </c>
      <c r="I69" s="100" t="s">
        <v>376</v>
      </c>
      <c r="J69" s="100" t="s">
        <v>422</v>
      </c>
      <c r="K69" s="101">
        <v>11000</v>
      </c>
      <c r="L69" s="101">
        <f>11000*11000</f>
        <v>121000000</v>
      </c>
      <c r="M69" s="99" t="str">
        <f>VLOOKUP(I69,SDDK!$C$6:$D$201,2,0)</f>
        <v>Thuốc nhuộm màu xanh đen C02</v>
      </c>
      <c r="N69" s="99" t="str">
        <f>VLOOKUP(J69,SDDK!$C$6:$D$201,2,0)</f>
        <v>Phải trả ngắn hạn Công ty TNHH Thiên Phú</v>
      </c>
    </row>
    <row r="70" spans="1:14" ht="12.75">
      <c r="A70" s="95" t="str">
        <f aca="true" t="shared" si="1" ref="A70:A133">F70</f>
        <v>17/10/2020</v>
      </c>
      <c r="B70" s="96"/>
      <c r="C70" s="96"/>
      <c r="D70" s="96" t="s">
        <v>499</v>
      </c>
      <c r="E70" s="97" t="s">
        <v>635</v>
      </c>
      <c r="F70" s="98" t="s">
        <v>958</v>
      </c>
      <c r="G70" s="96" t="s">
        <v>752</v>
      </c>
      <c r="H70" s="96" t="s">
        <v>994</v>
      </c>
      <c r="I70" s="100" t="s">
        <v>354</v>
      </c>
      <c r="J70" s="100" t="s">
        <v>422</v>
      </c>
      <c r="K70" s="101"/>
      <c r="L70" s="101">
        <v>12100000</v>
      </c>
      <c r="M70" s="99" t="str">
        <f>VLOOKUP(I70,SDDK!$C$6:$D$201,2,0)</f>
        <v>Thuế GTGT được khấu trừ của hàng hóa, dịch vụ</v>
      </c>
      <c r="N70" s="99" t="str">
        <f>VLOOKUP(J70,SDDK!$C$6:$D$201,2,0)</f>
        <v>Phải trả ngắn hạn Công ty TNHH Thiên Phú</v>
      </c>
    </row>
    <row r="71" spans="1:14" ht="12.75">
      <c r="A71" s="95" t="str">
        <f t="shared" si="1"/>
        <v>17/10/2020</v>
      </c>
      <c r="B71" s="96"/>
      <c r="C71" s="96" t="s">
        <v>247</v>
      </c>
      <c r="D71" s="96" t="s">
        <v>500</v>
      </c>
      <c r="E71" s="97" t="s">
        <v>636</v>
      </c>
      <c r="F71" s="98" t="s">
        <v>958</v>
      </c>
      <c r="G71" s="96" t="s">
        <v>755</v>
      </c>
      <c r="H71" s="96" t="s">
        <v>1037</v>
      </c>
      <c r="I71" s="102" t="s">
        <v>379</v>
      </c>
      <c r="J71" s="100" t="s">
        <v>418</v>
      </c>
      <c r="K71" s="101">
        <v>1267</v>
      </c>
      <c r="L71" s="101">
        <f>1267*2200</f>
        <v>2787400</v>
      </c>
      <c r="M71" s="99" t="str">
        <f>VLOOKUP(I71,SDDK!$C$6:$D$201,2,0)</f>
        <v>Ốc vít, bù loong.</v>
      </c>
      <c r="N71" s="99" t="str">
        <f>VLOOKUP(J71,SDDK!$C$6:$D$201,2,0)</f>
        <v>Phải trả ngắn hạn Công ty CP Tân Tạo</v>
      </c>
    </row>
    <row r="72" spans="1:14" ht="12.75">
      <c r="A72" s="95" t="str">
        <f t="shared" si="1"/>
        <v>17/10/2020</v>
      </c>
      <c r="B72" s="96"/>
      <c r="C72" s="96"/>
      <c r="D72" s="96" t="s">
        <v>500</v>
      </c>
      <c r="E72" s="97" t="s">
        <v>636</v>
      </c>
      <c r="F72" s="98" t="s">
        <v>958</v>
      </c>
      <c r="G72" s="96" t="s">
        <v>755</v>
      </c>
      <c r="H72" s="96" t="s">
        <v>994</v>
      </c>
      <c r="I72" s="100" t="s">
        <v>354</v>
      </c>
      <c r="J72" s="100" t="s">
        <v>418</v>
      </c>
      <c r="K72" s="101"/>
      <c r="L72" s="101">
        <v>278740</v>
      </c>
      <c r="M72" s="99" t="str">
        <f>VLOOKUP(I72,SDDK!$C$6:$D$201,2,0)</f>
        <v>Thuế GTGT được khấu trừ của hàng hóa, dịch vụ</v>
      </c>
      <c r="N72" s="99" t="str">
        <f>VLOOKUP(J72,SDDK!$C$6:$D$201,2,0)</f>
        <v>Phải trả ngắn hạn Công ty CP Tân Tạo</v>
      </c>
    </row>
    <row r="73" spans="1:14" ht="12.75">
      <c r="A73" s="95" t="str">
        <f t="shared" si="1"/>
        <v>18/10/2020</v>
      </c>
      <c r="B73" s="96"/>
      <c r="C73" s="96" t="s">
        <v>248</v>
      </c>
      <c r="D73" s="96" t="s">
        <v>501</v>
      </c>
      <c r="E73" s="97" t="s">
        <v>637</v>
      </c>
      <c r="F73" s="98" t="s">
        <v>959</v>
      </c>
      <c r="G73" s="96" t="s">
        <v>758</v>
      </c>
      <c r="H73" s="96" t="s">
        <v>1037</v>
      </c>
      <c r="I73" s="102" t="s">
        <v>379</v>
      </c>
      <c r="J73" s="100" t="s">
        <v>413</v>
      </c>
      <c r="K73" s="101">
        <v>40</v>
      </c>
      <c r="L73" s="101">
        <f>40*2230</f>
        <v>89200</v>
      </c>
      <c r="M73" s="99" t="str">
        <f>VLOOKUP(I73,SDDK!$C$6:$D$201,2,0)</f>
        <v>Ốc vít, bù loong.</v>
      </c>
      <c r="N73" s="99" t="str">
        <f>VLOOKUP(J73,SDDK!$C$6:$D$201,2,0)</f>
        <v>Phải trả ngắn hạn Công ty TNHH An Nam</v>
      </c>
    </row>
    <row r="74" spans="1:14" ht="12.75">
      <c r="A74" s="95" t="str">
        <f t="shared" si="1"/>
        <v>18/10/2020</v>
      </c>
      <c r="B74" s="96"/>
      <c r="C74" s="96"/>
      <c r="D74" s="96" t="s">
        <v>501</v>
      </c>
      <c r="E74" s="97" t="s">
        <v>637</v>
      </c>
      <c r="F74" s="98" t="s">
        <v>959</v>
      </c>
      <c r="G74" s="96" t="s">
        <v>758</v>
      </c>
      <c r="H74" s="96" t="s">
        <v>994</v>
      </c>
      <c r="I74" s="100" t="s">
        <v>354</v>
      </c>
      <c r="J74" s="100" t="s">
        <v>413</v>
      </c>
      <c r="K74" s="101"/>
      <c r="L74" s="101">
        <v>8920</v>
      </c>
      <c r="M74" s="99" t="str">
        <f>VLOOKUP(I74,SDDK!$C$6:$D$201,2,0)</f>
        <v>Thuế GTGT được khấu trừ của hàng hóa, dịch vụ</v>
      </c>
      <c r="N74" s="99" t="str">
        <f>VLOOKUP(J74,SDDK!$C$6:$D$201,2,0)</f>
        <v>Phải trả ngắn hạn Công ty TNHH An Nam</v>
      </c>
    </row>
    <row r="75" spans="1:14" ht="12.75">
      <c r="A75" s="95" t="str">
        <f t="shared" si="1"/>
        <v>18/10/2020</v>
      </c>
      <c r="B75" s="96"/>
      <c r="C75" s="96" t="s">
        <v>249</v>
      </c>
      <c r="D75" s="96" t="s">
        <v>502</v>
      </c>
      <c r="E75" s="97" t="s">
        <v>638</v>
      </c>
      <c r="F75" s="98" t="s">
        <v>959</v>
      </c>
      <c r="G75" s="96" t="s">
        <v>753</v>
      </c>
      <c r="H75" s="96" t="s">
        <v>1035</v>
      </c>
      <c r="I75" s="102" t="s">
        <v>375</v>
      </c>
      <c r="J75" s="100" t="s">
        <v>419</v>
      </c>
      <c r="K75" s="101">
        <v>11190</v>
      </c>
      <c r="L75" s="101">
        <f>11190*19100</f>
        <v>213729000</v>
      </c>
      <c r="M75" s="99" t="str">
        <f>VLOOKUP(I75,SDDK!$C$6:$D$201,2,0)</f>
        <v>Sợi thun coton thô</v>
      </c>
      <c r="N75" s="99" t="str">
        <f>VLOOKUP(J75,SDDK!$C$6:$D$201,2,0)</f>
        <v>Phải trả ngắn hạn Công ty TNHH Vĩnh viễn</v>
      </c>
    </row>
    <row r="76" spans="1:14" ht="12.75">
      <c r="A76" s="95" t="str">
        <f t="shared" si="1"/>
        <v>18/10/2020</v>
      </c>
      <c r="B76" s="96"/>
      <c r="C76" s="96"/>
      <c r="D76" s="96" t="s">
        <v>502</v>
      </c>
      <c r="E76" s="97" t="s">
        <v>638</v>
      </c>
      <c r="F76" s="98" t="s">
        <v>959</v>
      </c>
      <c r="G76" s="96" t="s">
        <v>753</v>
      </c>
      <c r="H76" s="96" t="s">
        <v>994</v>
      </c>
      <c r="I76" s="100" t="s">
        <v>354</v>
      </c>
      <c r="J76" s="100" t="s">
        <v>419</v>
      </c>
      <c r="K76" s="101"/>
      <c r="L76" s="101">
        <v>21372900</v>
      </c>
      <c r="M76" s="99" t="str">
        <f>VLOOKUP(I76,SDDK!$C$6:$D$201,2,0)</f>
        <v>Thuế GTGT được khấu trừ của hàng hóa, dịch vụ</v>
      </c>
      <c r="N76" s="99" t="str">
        <f>VLOOKUP(J76,SDDK!$C$6:$D$201,2,0)</f>
        <v>Phải trả ngắn hạn Công ty TNHH Vĩnh viễn</v>
      </c>
    </row>
    <row r="77" spans="1:14" ht="12.75">
      <c r="A77" s="95" t="str">
        <f t="shared" si="1"/>
        <v>19/10/2020</v>
      </c>
      <c r="B77" s="96"/>
      <c r="C77" s="96" t="s">
        <v>250</v>
      </c>
      <c r="D77" s="96" t="s">
        <v>503</v>
      </c>
      <c r="E77" s="97" t="s">
        <v>639</v>
      </c>
      <c r="F77" s="98" t="s">
        <v>960</v>
      </c>
      <c r="G77" s="96" t="s">
        <v>756</v>
      </c>
      <c r="H77" s="96" t="s">
        <v>1033</v>
      </c>
      <c r="I77" s="100" t="s">
        <v>718</v>
      </c>
      <c r="J77" s="100" t="s">
        <v>415</v>
      </c>
      <c r="K77" s="101">
        <v>210</v>
      </c>
      <c r="L77" s="101">
        <f>K77*247000</f>
        <v>51870000</v>
      </c>
      <c r="M77" s="99" t="str">
        <f>VLOOKUP(I77,SDDK!$C$6:$D$201,2,0)</f>
        <v>Kéo cắt vải</v>
      </c>
      <c r="N77" s="99" t="str">
        <f>VLOOKUP(J77,SDDK!$C$6:$D$201,2,0)</f>
        <v>Phải trả ngắn hạn Công ty Kinh Doanh Thép Việt</v>
      </c>
    </row>
    <row r="78" spans="1:14" ht="12.75">
      <c r="A78" s="95" t="str">
        <f t="shared" si="1"/>
        <v>19/10/2020</v>
      </c>
      <c r="B78" s="96"/>
      <c r="C78" s="96"/>
      <c r="D78" s="96" t="s">
        <v>503</v>
      </c>
      <c r="E78" s="97" t="s">
        <v>639</v>
      </c>
      <c r="F78" s="98" t="s">
        <v>960</v>
      </c>
      <c r="G78" s="96" t="s">
        <v>756</v>
      </c>
      <c r="H78" s="96" t="s">
        <v>994</v>
      </c>
      <c r="I78" s="100" t="s">
        <v>354</v>
      </c>
      <c r="J78" s="100" t="s">
        <v>415</v>
      </c>
      <c r="K78" s="101"/>
      <c r="L78" s="101">
        <f>L77*0.1</f>
        <v>5187000</v>
      </c>
      <c r="M78" s="99" t="str">
        <f>VLOOKUP(I78,SDDK!$C$6:$D$201,2,0)</f>
        <v>Thuế GTGT được khấu trừ của hàng hóa, dịch vụ</v>
      </c>
      <c r="N78" s="99" t="str">
        <f>VLOOKUP(J78,SDDK!$C$6:$D$201,2,0)</f>
        <v>Phải trả ngắn hạn Công ty Kinh Doanh Thép Việt</v>
      </c>
    </row>
    <row r="79" spans="1:14" ht="12.75">
      <c r="A79" s="95" t="str">
        <f t="shared" si="1"/>
        <v>19/10/2020</v>
      </c>
      <c r="B79" s="96"/>
      <c r="C79" s="96" t="s">
        <v>251</v>
      </c>
      <c r="D79" s="96" t="s">
        <v>504</v>
      </c>
      <c r="E79" s="97" t="s">
        <v>640</v>
      </c>
      <c r="F79" s="98" t="s">
        <v>960</v>
      </c>
      <c r="G79" s="96" t="s">
        <v>754</v>
      </c>
      <c r="H79" s="96" t="s">
        <v>1034</v>
      </c>
      <c r="I79" s="100" t="s">
        <v>376</v>
      </c>
      <c r="J79" s="100" t="s">
        <v>417</v>
      </c>
      <c r="K79" s="101">
        <v>20000</v>
      </c>
      <c r="L79" s="101">
        <f>20000*11500</f>
        <v>230000000</v>
      </c>
      <c r="M79" s="99" t="str">
        <f>VLOOKUP(I79,SDDK!$C$6:$D$201,2,0)</f>
        <v>Thuốc nhuộm màu xanh đen C02</v>
      </c>
      <c r="N79" s="99" t="str">
        <f>VLOOKUP(J79,SDDK!$C$6:$D$201,2,0)</f>
        <v>Phải trả ngắn hạn Công ty TNHH Sen Hồng</v>
      </c>
    </row>
    <row r="80" spans="1:14" ht="12.75">
      <c r="A80" s="95" t="str">
        <f t="shared" si="1"/>
        <v>19/10/2020</v>
      </c>
      <c r="B80" s="96"/>
      <c r="C80" s="96"/>
      <c r="D80" s="96" t="s">
        <v>504</v>
      </c>
      <c r="E80" s="97" t="s">
        <v>640</v>
      </c>
      <c r="F80" s="98" t="s">
        <v>960</v>
      </c>
      <c r="G80" s="96" t="s">
        <v>754</v>
      </c>
      <c r="H80" s="96" t="s">
        <v>994</v>
      </c>
      <c r="I80" s="100" t="s">
        <v>354</v>
      </c>
      <c r="J80" s="100" t="s">
        <v>417</v>
      </c>
      <c r="K80" s="101"/>
      <c r="L80" s="101">
        <v>23000000</v>
      </c>
      <c r="M80" s="99" t="str">
        <f>VLOOKUP(I80,SDDK!$C$6:$D$201,2,0)</f>
        <v>Thuế GTGT được khấu trừ của hàng hóa, dịch vụ</v>
      </c>
      <c r="N80" s="99" t="str">
        <f>VLOOKUP(J80,SDDK!$C$6:$D$201,2,0)</f>
        <v>Phải trả ngắn hạn Công ty TNHH Sen Hồng</v>
      </c>
    </row>
    <row r="81" spans="1:14" ht="12.75">
      <c r="A81" s="95" t="str">
        <f t="shared" si="1"/>
        <v>20/10/2020</v>
      </c>
      <c r="B81" s="96"/>
      <c r="C81" s="96" t="s">
        <v>252</v>
      </c>
      <c r="D81" s="96" t="s">
        <v>505</v>
      </c>
      <c r="E81" s="97" t="s">
        <v>641</v>
      </c>
      <c r="F81" s="98" t="s">
        <v>961</v>
      </c>
      <c r="G81" s="96" t="s">
        <v>766</v>
      </c>
      <c r="H81" s="96" t="s">
        <v>1036</v>
      </c>
      <c r="I81" s="102" t="s">
        <v>378</v>
      </c>
      <c r="J81" s="100" t="s">
        <v>416</v>
      </c>
      <c r="K81" s="101">
        <v>400</v>
      </c>
      <c r="L81" s="101">
        <f>400*16700</f>
        <v>6680000</v>
      </c>
      <c r="M81" s="99" t="str">
        <f>VLOOKUP(I81,SDDK!$C$6:$D$201,2,0)</f>
        <v>Nhiên liệu Dầu nhớt Deizel</v>
      </c>
      <c r="N81" s="99" t="str">
        <f>VLOOKUP(J81,SDDK!$C$6:$D$201,2,0)</f>
        <v>Phải trả ngắn hạn Công ty TNHH Quang Ngọc</v>
      </c>
    </row>
    <row r="82" spans="1:14" ht="12.75">
      <c r="A82" s="95" t="str">
        <f t="shared" si="1"/>
        <v>20/10/2020</v>
      </c>
      <c r="B82" s="96"/>
      <c r="C82" s="96"/>
      <c r="D82" s="96" t="s">
        <v>505</v>
      </c>
      <c r="E82" s="97" t="s">
        <v>641</v>
      </c>
      <c r="F82" s="98" t="s">
        <v>961</v>
      </c>
      <c r="G82" s="96" t="s">
        <v>766</v>
      </c>
      <c r="H82" s="96" t="s">
        <v>994</v>
      </c>
      <c r="I82" s="100" t="s">
        <v>354</v>
      </c>
      <c r="J82" s="100" t="s">
        <v>416</v>
      </c>
      <c r="K82" s="101"/>
      <c r="L82" s="101">
        <v>668000</v>
      </c>
      <c r="M82" s="99" t="str">
        <f>VLOOKUP(I82,SDDK!$C$6:$D$201,2,0)</f>
        <v>Thuế GTGT được khấu trừ của hàng hóa, dịch vụ</v>
      </c>
      <c r="N82" s="99" t="str">
        <f>VLOOKUP(J82,SDDK!$C$6:$D$201,2,0)</f>
        <v>Phải trả ngắn hạn Công ty TNHH Quang Ngọc</v>
      </c>
    </row>
    <row r="83" spans="1:14" ht="12.75">
      <c r="A83" s="95" t="str">
        <f t="shared" si="1"/>
        <v>20/10/2020</v>
      </c>
      <c r="B83" s="96"/>
      <c r="C83" s="96" t="s">
        <v>253</v>
      </c>
      <c r="D83" s="96" t="s">
        <v>506</v>
      </c>
      <c r="E83" s="97" t="s">
        <v>642</v>
      </c>
      <c r="F83" s="98" t="s">
        <v>961</v>
      </c>
      <c r="G83" s="96" t="s">
        <v>757</v>
      </c>
      <c r="H83" s="96" t="s">
        <v>1035</v>
      </c>
      <c r="I83" s="102" t="s">
        <v>375</v>
      </c>
      <c r="J83" s="100" t="s">
        <v>414</v>
      </c>
      <c r="K83" s="101">
        <v>400</v>
      </c>
      <c r="L83" s="101">
        <f>400*19300</f>
        <v>7720000</v>
      </c>
      <c r="M83" s="99" t="str">
        <f>VLOOKUP(I83,SDDK!$C$6:$D$201,2,0)</f>
        <v>Sợi thun coton thô</v>
      </c>
      <c r="N83" s="99" t="str">
        <f>VLOOKUP(J83,SDDK!$C$6:$D$201,2,0)</f>
        <v>Phải trả ngắn hạn Công ty TNHH Tú Ngọc</v>
      </c>
    </row>
    <row r="84" spans="1:14" ht="12.75">
      <c r="A84" s="95" t="str">
        <f t="shared" si="1"/>
        <v>20/10/2020</v>
      </c>
      <c r="B84" s="96"/>
      <c r="C84" s="96"/>
      <c r="D84" s="96" t="s">
        <v>506</v>
      </c>
      <c r="E84" s="97" t="s">
        <v>642</v>
      </c>
      <c r="F84" s="98" t="s">
        <v>961</v>
      </c>
      <c r="G84" s="96" t="s">
        <v>757</v>
      </c>
      <c r="H84" s="96" t="s">
        <v>994</v>
      </c>
      <c r="I84" s="100" t="s">
        <v>354</v>
      </c>
      <c r="J84" s="100" t="s">
        <v>414</v>
      </c>
      <c r="K84" s="101"/>
      <c r="L84" s="101">
        <v>772000</v>
      </c>
      <c r="M84" s="99" t="str">
        <f>VLOOKUP(I84,SDDK!$C$6:$D$201,2,0)</f>
        <v>Thuế GTGT được khấu trừ của hàng hóa, dịch vụ</v>
      </c>
      <c r="N84" s="99" t="str">
        <f>VLOOKUP(J84,SDDK!$C$6:$D$201,2,0)</f>
        <v>Phải trả ngắn hạn Công ty TNHH Tú Ngọc</v>
      </c>
    </row>
    <row r="85" spans="1:14" ht="12.75">
      <c r="A85" s="95" t="str">
        <f t="shared" si="1"/>
        <v>20/10/2020</v>
      </c>
      <c r="B85" s="97"/>
      <c r="C85" s="96" t="s">
        <v>254</v>
      </c>
      <c r="D85" s="96"/>
      <c r="E85" s="97"/>
      <c r="F85" s="98" t="s">
        <v>961</v>
      </c>
      <c r="G85" s="96" t="s">
        <v>602</v>
      </c>
      <c r="H85" s="96" t="s">
        <v>1038</v>
      </c>
      <c r="I85" s="100" t="s">
        <v>384</v>
      </c>
      <c r="J85" s="100" t="s">
        <v>381</v>
      </c>
      <c r="K85" s="101">
        <v>1000</v>
      </c>
      <c r="L85" s="101">
        <f>1000*390500</f>
        <v>390500000</v>
      </c>
      <c r="M85" s="99" t="str">
        <f>VLOOKUP(I85,SDDK!$C$6:$D$201,2,0)</f>
        <v>Vải thun coton</v>
      </c>
      <c r="N85" s="99" t="str">
        <f>VLOOKUP(J85,SDDK!$C$6:$D$201,2,0)</f>
        <v>Chi phí SXKD dở dang Vải thun coton (giá kế hoạch 4600)</v>
      </c>
    </row>
    <row r="86" spans="1:14" ht="12.75">
      <c r="A86" s="95" t="str">
        <f t="shared" si="1"/>
        <v>20/10/2020</v>
      </c>
      <c r="B86" s="97"/>
      <c r="C86" s="96" t="s">
        <v>255</v>
      </c>
      <c r="D86" s="96"/>
      <c r="E86" s="97"/>
      <c r="F86" s="98" t="s">
        <v>961</v>
      </c>
      <c r="G86" s="96" t="s">
        <v>602</v>
      </c>
      <c r="H86" s="96" t="s">
        <v>1039</v>
      </c>
      <c r="I86" s="100" t="s">
        <v>385</v>
      </c>
      <c r="J86" s="100" t="s">
        <v>382</v>
      </c>
      <c r="K86" s="101">
        <v>1000</v>
      </c>
      <c r="L86" s="101">
        <f>1000*317500</f>
        <v>317500000</v>
      </c>
      <c r="M86" s="99" t="str">
        <f>VLOOKUP(I86,SDDK!$C$6:$D$201,2,0)</f>
        <v>Thảm lót chân</v>
      </c>
      <c r="N86" s="99" t="str">
        <f>VLOOKUP(J86,SDDK!$C$6:$D$201,2,0)</f>
        <v>Chi phí SXKD dở dang Thảm lót chân (giá kế hoạch 5500)</v>
      </c>
    </row>
    <row r="87" spans="1:14" ht="12.75">
      <c r="A87" s="95" t="str">
        <f t="shared" si="1"/>
        <v>20/10/2020</v>
      </c>
      <c r="B87" s="96"/>
      <c r="C87" s="96" t="s">
        <v>256</v>
      </c>
      <c r="D87" s="96"/>
      <c r="E87" s="97"/>
      <c r="F87" s="98" t="s">
        <v>961</v>
      </c>
      <c r="G87" s="96" t="s">
        <v>602</v>
      </c>
      <c r="H87" s="96" t="s">
        <v>1040</v>
      </c>
      <c r="I87" s="100" t="s">
        <v>62</v>
      </c>
      <c r="J87" s="100" t="s">
        <v>384</v>
      </c>
      <c r="K87" s="101">
        <v>192</v>
      </c>
      <c r="L87" s="101">
        <f>192*392500</f>
        <v>75360000</v>
      </c>
      <c r="M87" s="99" t="str">
        <f>VLOOKUP(I87,SDDK!$C$6:$D$201,2,0)</f>
        <v>Giá vốn hàng bán</v>
      </c>
      <c r="N87" s="99" t="str">
        <f>VLOOKUP(J87,SDDK!$C$6:$D$201,2,0)</f>
        <v>Vải thun coton</v>
      </c>
    </row>
    <row r="88" spans="1:14" ht="12.75">
      <c r="A88" s="95" t="str">
        <f t="shared" si="1"/>
        <v>20/10/2020</v>
      </c>
      <c r="B88" s="96"/>
      <c r="C88" s="97"/>
      <c r="D88" s="96" t="s">
        <v>507</v>
      </c>
      <c r="E88" s="97" t="s">
        <v>642</v>
      </c>
      <c r="F88" s="98" t="s">
        <v>961</v>
      </c>
      <c r="G88" s="96" t="s">
        <v>118</v>
      </c>
      <c r="H88" s="96" t="s">
        <v>1041</v>
      </c>
      <c r="I88" s="100" t="s">
        <v>342</v>
      </c>
      <c r="J88" s="100" t="s">
        <v>15</v>
      </c>
      <c r="K88" s="101">
        <v>192</v>
      </c>
      <c r="L88" s="101">
        <f>K88*500000</f>
        <v>96000000</v>
      </c>
      <c r="M88" s="99" t="str">
        <f>VLOOKUP(I88,SDDK!$C$6:$D$201,2,0)</f>
        <v>Phải thu ngắn hạn Xí Nghiệp LIDOVIT</v>
      </c>
      <c r="N88" s="99" t="str">
        <f>VLOOKUP(J88,SDDK!$C$6:$D$201,2,0)</f>
        <v>Doanh thu bán thành phẩm</v>
      </c>
    </row>
    <row r="89" spans="1:14" ht="12.75">
      <c r="A89" s="95" t="str">
        <f t="shared" si="1"/>
        <v>20/10/2020</v>
      </c>
      <c r="B89" s="96"/>
      <c r="C89" s="97"/>
      <c r="D89" s="96" t="s">
        <v>507</v>
      </c>
      <c r="E89" s="97" t="s">
        <v>642</v>
      </c>
      <c r="F89" s="98" t="s">
        <v>961</v>
      </c>
      <c r="G89" s="96" t="s">
        <v>118</v>
      </c>
      <c r="H89" s="96" t="s">
        <v>1016</v>
      </c>
      <c r="I89" s="100" t="s">
        <v>342</v>
      </c>
      <c r="J89" s="100" t="s">
        <v>161</v>
      </c>
      <c r="K89" s="101"/>
      <c r="L89" s="101">
        <f>L88*0.1</f>
        <v>9600000</v>
      </c>
      <c r="M89" s="99" t="str">
        <f>VLOOKUP(I89,SDDK!$C$6:$D$201,2,0)</f>
        <v>Phải thu ngắn hạn Xí Nghiệp LIDOVIT</v>
      </c>
      <c r="N89" s="99" t="str">
        <f>VLOOKUP(J89,SDDK!$C$6:$D$201,2,0)</f>
        <v>Thuế GTGT đầu ra hoạt động kinh doanh</v>
      </c>
    </row>
    <row r="90" spans="1:14" ht="12.75">
      <c r="A90" s="95" t="str">
        <f t="shared" si="1"/>
        <v>21/10/2020</v>
      </c>
      <c r="B90" s="96"/>
      <c r="C90" s="96" t="s">
        <v>257</v>
      </c>
      <c r="D90" s="96"/>
      <c r="E90" s="97"/>
      <c r="F90" s="98" t="s">
        <v>962</v>
      </c>
      <c r="G90" s="96" t="s">
        <v>602</v>
      </c>
      <c r="H90" s="96" t="s">
        <v>1042</v>
      </c>
      <c r="I90" s="100" t="s">
        <v>62</v>
      </c>
      <c r="J90" s="100" t="s">
        <v>384</v>
      </c>
      <c r="K90" s="101">
        <v>224</v>
      </c>
      <c r="L90" s="101">
        <f>224*392500</f>
        <v>87920000</v>
      </c>
      <c r="M90" s="99" t="str">
        <f>VLOOKUP(I90,SDDK!$C$6:$D$201,2,0)</f>
        <v>Giá vốn hàng bán</v>
      </c>
      <c r="N90" s="99" t="str">
        <f>VLOOKUP(J90,SDDK!$C$6:$D$201,2,0)</f>
        <v>Vải thun coton</v>
      </c>
    </row>
    <row r="91" spans="1:14" ht="12.75">
      <c r="A91" s="95" t="str">
        <f t="shared" si="1"/>
        <v>21/10/2020</v>
      </c>
      <c r="B91" s="96"/>
      <c r="C91" s="97"/>
      <c r="D91" s="96" t="s">
        <v>508</v>
      </c>
      <c r="E91" s="97" t="s">
        <v>643</v>
      </c>
      <c r="F91" s="98" t="s">
        <v>962</v>
      </c>
      <c r="G91" s="96" t="s">
        <v>119</v>
      </c>
      <c r="H91" s="96" t="s">
        <v>1043</v>
      </c>
      <c r="I91" s="100" t="s">
        <v>343</v>
      </c>
      <c r="J91" s="100" t="s">
        <v>15</v>
      </c>
      <c r="K91" s="101">
        <v>224</v>
      </c>
      <c r="L91" s="101">
        <f>K91*520000</f>
        <v>116480000</v>
      </c>
      <c r="M91" s="99" t="str">
        <f>VLOOKUP(I91,SDDK!$C$6:$D$201,2,0)</f>
        <v>Phải thu ngắn hạn Công ty GEMARTRANS </v>
      </c>
      <c r="N91" s="99" t="str">
        <f>VLOOKUP(J91,SDDK!$C$6:$D$201,2,0)</f>
        <v>Doanh thu bán thành phẩm</v>
      </c>
    </row>
    <row r="92" spans="1:14" ht="12.75">
      <c r="A92" s="95" t="str">
        <f t="shared" si="1"/>
        <v>21/10/2020</v>
      </c>
      <c r="B92" s="97"/>
      <c r="C92" s="97"/>
      <c r="D92" s="96" t="s">
        <v>508</v>
      </c>
      <c r="E92" s="97" t="s">
        <v>643</v>
      </c>
      <c r="F92" s="98" t="s">
        <v>962</v>
      </c>
      <c r="G92" s="96" t="s">
        <v>119</v>
      </c>
      <c r="H92" s="96" t="s">
        <v>1016</v>
      </c>
      <c r="I92" s="100" t="s">
        <v>343</v>
      </c>
      <c r="J92" s="100" t="s">
        <v>161</v>
      </c>
      <c r="K92" s="101"/>
      <c r="L92" s="101">
        <f>L91*0.1</f>
        <v>11648000</v>
      </c>
      <c r="M92" s="99" t="str">
        <f>VLOOKUP(I92,SDDK!$C$6:$D$201,2,0)</f>
        <v>Phải thu ngắn hạn Công ty GEMARTRANS </v>
      </c>
      <c r="N92" s="99" t="str">
        <f>VLOOKUP(J92,SDDK!$C$6:$D$201,2,0)</f>
        <v>Thuế GTGT đầu ra hoạt động kinh doanh</v>
      </c>
    </row>
    <row r="93" spans="1:14" ht="12.75">
      <c r="A93" s="95" t="str">
        <f t="shared" si="1"/>
        <v>22/10/2020</v>
      </c>
      <c r="B93" s="97"/>
      <c r="C93" s="96" t="s">
        <v>258</v>
      </c>
      <c r="D93" s="96"/>
      <c r="E93" s="97"/>
      <c r="F93" s="98" t="s">
        <v>963</v>
      </c>
      <c r="G93" s="96" t="s">
        <v>602</v>
      </c>
      <c r="H93" s="96" t="s">
        <v>1044</v>
      </c>
      <c r="I93" s="100" t="s">
        <v>62</v>
      </c>
      <c r="J93" s="100" t="s">
        <v>385</v>
      </c>
      <c r="K93" s="101">
        <v>200</v>
      </c>
      <c r="L93" s="101">
        <f>200*317545</f>
        <v>63509000</v>
      </c>
      <c r="M93" s="99" t="str">
        <f>VLOOKUP(I93,SDDK!$C$6:$D$201,2,0)</f>
        <v>Giá vốn hàng bán</v>
      </c>
      <c r="N93" s="99" t="str">
        <f>VLOOKUP(J93,SDDK!$C$6:$D$201,2,0)</f>
        <v>Thảm lót chân</v>
      </c>
    </row>
    <row r="94" spans="1:14" ht="12.75">
      <c r="A94" s="95" t="str">
        <f t="shared" si="1"/>
        <v>22/10/2020</v>
      </c>
      <c r="B94" s="97"/>
      <c r="C94" s="97"/>
      <c r="D94" s="96" t="s">
        <v>509</v>
      </c>
      <c r="E94" s="97" t="s">
        <v>644</v>
      </c>
      <c r="F94" s="98" t="s">
        <v>963</v>
      </c>
      <c r="G94" s="96" t="s">
        <v>964</v>
      </c>
      <c r="H94" s="96" t="s">
        <v>1045</v>
      </c>
      <c r="I94" s="100" t="s">
        <v>353</v>
      </c>
      <c r="J94" s="100" t="s">
        <v>15</v>
      </c>
      <c r="K94" s="101">
        <v>200</v>
      </c>
      <c r="L94" s="101">
        <f>K94*390000</f>
        <v>78000000</v>
      </c>
      <c r="M94" s="99" t="str">
        <f>VLOOKUP(I94,SDDK!$C$6:$D$201,2,0)</f>
        <v>Phải thu dài hạn Công ty CP Hoa Sen</v>
      </c>
      <c r="N94" s="99" t="str">
        <f>VLOOKUP(J94,SDDK!$C$6:$D$201,2,0)</f>
        <v>Doanh thu bán thành phẩm</v>
      </c>
    </row>
    <row r="95" spans="1:14" ht="12.75">
      <c r="A95" s="95" t="str">
        <f t="shared" si="1"/>
        <v>22/10/2020</v>
      </c>
      <c r="B95" s="97"/>
      <c r="C95" s="97"/>
      <c r="D95" s="96" t="s">
        <v>509</v>
      </c>
      <c r="E95" s="97" t="s">
        <v>644</v>
      </c>
      <c r="F95" s="98" t="s">
        <v>963</v>
      </c>
      <c r="G95" s="96" t="s">
        <v>964</v>
      </c>
      <c r="H95" s="96" t="s">
        <v>1016</v>
      </c>
      <c r="I95" s="100" t="s">
        <v>353</v>
      </c>
      <c r="J95" s="100" t="s">
        <v>161</v>
      </c>
      <c r="K95" s="101"/>
      <c r="L95" s="101">
        <f>L94*0.05</f>
        <v>3900000</v>
      </c>
      <c r="M95" s="99" t="str">
        <f>VLOOKUP(I95,SDDK!$C$6:$D$201,2,0)</f>
        <v>Phải thu dài hạn Công ty CP Hoa Sen</v>
      </c>
      <c r="N95" s="99" t="str">
        <f>VLOOKUP(J95,SDDK!$C$6:$D$201,2,0)</f>
        <v>Thuế GTGT đầu ra hoạt động kinh doanh</v>
      </c>
    </row>
    <row r="96" spans="1:14" ht="12.75">
      <c r="A96" s="95" t="str">
        <f t="shared" si="1"/>
        <v>23/10/2020</v>
      </c>
      <c r="B96" s="97"/>
      <c r="C96" s="96" t="s">
        <v>259</v>
      </c>
      <c r="D96" s="96"/>
      <c r="E96" s="97"/>
      <c r="F96" s="98" t="s">
        <v>965</v>
      </c>
      <c r="G96" s="96" t="s">
        <v>602</v>
      </c>
      <c r="H96" s="96" t="s">
        <v>1046</v>
      </c>
      <c r="I96" s="100" t="s">
        <v>62</v>
      </c>
      <c r="J96" s="100" t="s">
        <v>384</v>
      </c>
      <c r="K96" s="101">
        <v>48</v>
      </c>
      <c r="L96" s="101">
        <f>48*392500</f>
        <v>18840000</v>
      </c>
      <c r="M96" s="99" t="str">
        <f>VLOOKUP(I96,SDDK!$C$6:$D$201,2,0)</f>
        <v>Giá vốn hàng bán</v>
      </c>
      <c r="N96" s="99" t="str">
        <f>VLOOKUP(J96,SDDK!$C$6:$D$201,2,0)</f>
        <v>Vải thun coton</v>
      </c>
    </row>
    <row r="97" spans="1:14" ht="12.75">
      <c r="A97" s="95" t="str">
        <f t="shared" si="1"/>
        <v>23/10/2020</v>
      </c>
      <c r="B97" s="97"/>
      <c r="C97" s="97"/>
      <c r="D97" s="96" t="s">
        <v>510</v>
      </c>
      <c r="E97" s="97" t="s">
        <v>645</v>
      </c>
      <c r="F97" s="98" t="s">
        <v>965</v>
      </c>
      <c r="G97" s="96" t="s">
        <v>260</v>
      </c>
      <c r="H97" s="96" t="s">
        <v>1047</v>
      </c>
      <c r="I97" s="100" t="s">
        <v>340</v>
      </c>
      <c r="J97" s="100" t="s">
        <v>15</v>
      </c>
      <c r="K97" s="101">
        <v>48</v>
      </c>
      <c r="L97" s="101">
        <f>K97*510000</f>
        <v>24480000</v>
      </c>
      <c r="M97" s="99" t="str">
        <f>VLOOKUP(I97,SDDK!$C$6:$D$201,2,0)</f>
        <v>Phải thu ngắn hạn Công ty Metro</v>
      </c>
      <c r="N97" s="99" t="str">
        <f>VLOOKUP(J97,SDDK!$C$6:$D$201,2,0)</f>
        <v>Doanh thu bán thành phẩm</v>
      </c>
    </row>
    <row r="98" spans="1:14" ht="12.75">
      <c r="A98" s="95" t="str">
        <f t="shared" si="1"/>
        <v>23/10/2020</v>
      </c>
      <c r="B98" s="97"/>
      <c r="C98" s="97"/>
      <c r="D98" s="96" t="s">
        <v>510</v>
      </c>
      <c r="E98" s="97" t="s">
        <v>645</v>
      </c>
      <c r="F98" s="98" t="s">
        <v>965</v>
      </c>
      <c r="G98" s="96" t="s">
        <v>260</v>
      </c>
      <c r="H98" s="96" t="s">
        <v>1016</v>
      </c>
      <c r="I98" s="100" t="s">
        <v>340</v>
      </c>
      <c r="J98" s="100" t="s">
        <v>161</v>
      </c>
      <c r="K98" s="101"/>
      <c r="L98" s="101">
        <f>L97*0.1</f>
        <v>2448000</v>
      </c>
      <c r="M98" s="99" t="str">
        <f>VLOOKUP(I98,SDDK!$C$6:$D$201,2,0)</f>
        <v>Phải thu ngắn hạn Công ty Metro</v>
      </c>
      <c r="N98" s="99" t="str">
        <f>VLOOKUP(J98,SDDK!$C$6:$D$201,2,0)</f>
        <v>Thuế GTGT đầu ra hoạt động kinh doanh</v>
      </c>
    </row>
    <row r="99" spans="1:14" ht="12.75">
      <c r="A99" s="95" t="str">
        <f t="shared" si="1"/>
        <v>24/10/2020</v>
      </c>
      <c r="B99" s="97"/>
      <c r="C99" s="96" t="s">
        <v>261</v>
      </c>
      <c r="D99" s="96"/>
      <c r="E99" s="97"/>
      <c r="F99" s="98" t="s">
        <v>966</v>
      </c>
      <c r="G99" s="96" t="s">
        <v>602</v>
      </c>
      <c r="H99" s="96" t="s">
        <v>1048</v>
      </c>
      <c r="I99" s="100" t="s">
        <v>62</v>
      </c>
      <c r="J99" s="100" t="s">
        <v>384</v>
      </c>
      <c r="K99" s="101">
        <v>296</v>
      </c>
      <c r="L99" s="101">
        <f>296*392500</f>
        <v>116180000</v>
      </c>
      <c r="M99" s="99" t="str">
        <f>VLOOKUP(I99,SDDK!$C$6:$D$201,2,0)</f>
        <v>Giá vốn hàng bán</v>
      </c>
      <c r="N99" s="99" t="str">
        <f>VLOOKUP(J99,SDDK!$C$6:$D$201,2,0)</f>
        <v>Vải thun coton</v>
      </c>
    </row>
    <row r="100" spans="1:14" ht="12.75">
      <c r="A100" s="95" t="str">
        <f t="shared" si="1"/>
        <v>24/10/2020</v>
      </c>
      <c r="B100" s="97"/>
      <c r="C100" s="97"/>
      <c r="D100" s="96" t="s">
        <v>511</v>
      </c>
      <c r="E100" s="97" t="s">
        <v>646</v>
      </c>
      <c r="F100" s="98" t="s">
        <v>966</v>
      </c>
      <c r="G100" s="96" t="s">
        <v>119</v>
      </c>
      <c r="H100" s="96" t="s">
        <v>1049</v>
      </c>
      <c r="I100" s="100" t="s">
        <v>343</v>
      </c>
      <c r="J100" s="100" t="s">
        <v>15</v>
      </c>
      <c r="K100" s="101">
        <v>296</v>
      </c>
      <c r="L100" s="101">
        <f>K100*500000</f>
        <v>148000000</v>
      </c>
      <c r="M100" s="99" t="str">
        <f>VLOOKUP(I100,SDDK!$C$6:$D$201,2,0)</f>
        <v>Phải thu ngắn hạn Công ty GEMARTRANS </v>
      </c>
      <c r="N100" s="99" t="str">
        <f>VLOOKUP(J100,SDDK!$C$6:$D$201,2,0)</f>
        <v>Doanh thu bán thành phẩm</v>
      </c>
    </row>
    <row r="101" spans="1:14" ht="12.75">
      <c r="A101" s="95" t="str">
        <f t="shared" si="1"/>
        <v>24/10/2020</v>
      </c>
      <c r="B101" s="97"/>
      <c r="C101" s="97"/>
      <c r="D101" s="96" t="s">
        <v>511</v>
      </c>
      <c r="E101" s="97" t="s">
        <v>646</v>
      </c>
      <c r="F101" s="98" t="s">
        <v>966</v>
      </c>
      <c r="G101" s="96" t="s">
        <v>119</v>
      </c>
      <c r="H101" s="96" t="s">
        <v>1016</v>
      </c>
      <c r="I101" s="100" t="s">
        <v>343</v>
      </c>
      <c r="J101" s="100" t="s">
        <v>161</v>
      </c>
      <c r="K101" s="101"/>
      <c r="L101" s="101">
        <f>L100*0.1</f>
        <v>14800000</v>
      </c>
      <c r="M101" s="99" t="str">
        <f>VLOOKUP(I101,SDDK!$C$6:$D$201,2,0)</f>
        <v>Phải thu ngắn hạn Công ty GEMARTRANS </v>
      </c>
      <c r="N101" s="99" t="str">
        <f>VLOOKUP(J101,SDDK!$C$6:$D$201,2,0)</f>
        <v>Thuế GTGT đầu ra hoạt động kinh doanh</v>
      </c>
    </row>
    <row r="102" spans="1:14" ht="12.75">
      <c r="A102" s="95" t="str">
        <f t="shared" si="1"/>
        <v>24/10/2020</v>
      </c>
      <c r="B102" s="97"/>
      <c r="C102" s="96" t="s">
        <v>262</v>
      </c>
      <c r="D102" s="96"/>
      <c r="E102" s="97"/>
      <c r="F102" s="98" t="s">
        <v>966</v>
      </c>
      <c r="G102" s="96" t="s">
        <v>602</v>
      </c>
      <c r="H102" s="96" t="s">
        <v>1050</v>
      </c>
      <c r="I102" s="100" t="s">
        <v>62</v>
      </c>
      <c r="J102" s="100" t="s">
        <v>384</v>
      </c>
      <c r="K102" s="101">
        <v>150</v>
      </c>
      <c r="L102" s="101">
        <f>150*392500</f>
        <v>58875000</v>
      </c>
      <c r="M102" s="99" t="str">
        <f>VLOOKUP(I102,SDDK!$C$6:$D$201,2,0)</f>
        <v>Giá vốn hàng bán</v>
      </c>
      <c r="N102" s="99" t="str">
        <f>VLOOKUP(J102,SDDK!$C$6:$D$201,2,0)</f>
        <v>Vải thun coton</v>
      </c>
    </row>
    <row r="103" spans="1:14" ht="12.75">
      <c r="A103" s="95" t="str">
        <f t="shared" si="1"/>
        <v>24/10/2020</v>
      </c>
      <c r="B103" s="97"/>
      <c r="C103" s="97"/>
      <c r="D103" s="96" t="s">
        <v>512</v>
      </c>
      <c r="E103" s="97" t="s">
        <v>647</v>
      </c>
      <c r="F103" s="98" t="s">
        <v>966</v>
      </c>
      <c r="G103" s="96" t="s">
        <v>967</v>
      </c>
      <c r="H103" s="96" t="s">
        <v>1051</v>
      </c>
      <c r="I103" s="100" t="s">
        <v>344</v>
      </c>
      <c r="J103" s="100" t="s">
        <v>15</v>
      </c>
      <c r="K103" s="101">
        <v>150</v>
      </c>
      <c r="L103" s="101">
        <f>K103*520000</f>
        <v>78000000</v>
      </c>
      <c r="M103" s="99" t="str">
        <f>VLOOKUP(I103,SDDK!$C$6:$D$201,2,0)</f>
        <v>Phải thu ngắn hạn Công ty TNHH Hoàng Anh</v>
      </c>
      <c r="N103" s="99" t="str">
        <f>VLOOKUP(J103,SDDK!$C$6:$D$201,2,0)</f>
        <v>Doanh thu bán thành phẩm</v>
      </c>
    </row>
    <row r="104" spans="1:14" ht="12.75">
      <c r="A104" s="95" t="str">
        <f t="shared" si="1"/>
        <v>24/10/2020</v>
      </c>
      <c r="B104" s="97"/>
      <c r="C104" s="97"/>
      <c r="D104" s="96" t="s">
        <v>512</v>
      </c>
      <c r="E104" s="97" t="s">
        <v>647</v>
      </c>
      <c r="F104" s="98" t="s">
        <v>966</v>
      </c>
      <c r="G104" s="96" t="s">
        <v>967</v>
      </c>
      <c r="H104" s="96" t="s">
        <v>1016</v>
      </c>
      <c r="I104" s="100" t="s">
        <v>344</v>
      </c>
      <c r="J104" s="100" t="s">
        <v>161</v>
      </c>
      <c r="K104" s="101"/>
      <c r="L104" s="101">
        <f>L103*0.1</f>
        <v>7800000</v>
      </c>
      <c r="M104" s="99" t="str">
        <f>VLOOKUP(I104,SDDK!$C$6:$D$201,2,0)</f>
        <v>Phải thu ngắn hạn Công ty TNHH Hoàng Anh</v>
      </c>
      <c r="N104" s="99" t="str">
        <f>VLOOKUP(J104,SDDK!$C$6:$D$201,2,0)</f>
        <v>Thuế GTGT đầu ra hoạt động kinh doanh</v>
      </c>
    </row>
    <row r="105" spans="1:14" ht="12.75">
      <c r="A105" s="95" t="str">
        <f t="shared" si="1"/>
        <v>24/10/2020</v>
      </c>
      <c r="B105" s="97"/>
      <c r="C105" s="96" t="s">
        <v>263</v>
      </c>
      <c r="D105" s="96"/>
      <c r="E105" s="97" t="s">
        <v>648</v>
      </c>
      <c r="F105" s="98" t="s">
        <v>966</v>
      </c>
      <c r="G105" s="96" t="s">
        <v>602</v>
      </c>
      <c r="H105" s="96" t="s">
        <v>1052</v>
      </c>
      <c r="I105" s="100" t="s">
        <v>715</v>
      </c>
      <c r="J105" s="100" t="s">
        <v>384</v>
      </c>
      <c r="K105" s="101">
        <v>100</v>
      </c>
      <c r="L105" s="101">
        <f>K105*392500</f>
        <v>39250000</v>
      </c>
      <c r="M105" s="99" t="str">
        <f>VLOOKUP(I105,SDDK!$C$6:$D$201,2,0)</f>
        <v>Đầu tư ngắn hạn khác</v>
      </c>
      <c r="N105" s="99" t="str">
        <f>VLOOKUP(J105,SDDK!$C$6:$D$201,2,0)</f>
        <v>Vải thun coton</v>
      </c>
    </row>
    <row r="106" spans="1:14" ht="12.75">
      <c r="A106" s="95" t="str">
        <f t="shared" si="1"/>
        <v>24/10/2020</v>
      </c>
      <c r="B106" s="96" t="s">
        <v>264</v>
      </c>
      <c r="C106" s="97"/>
      <c r="D106" s="97"/>
      <c r="E106" s="97" t="s">
        <v>648</v>
      </c>
      <c r="F106" s="98" t="s">
        <v>966</v>
      </c>
      <c r="G106" s="96" t="s">
        <v>193</v>
      </c>
      <c r="H106" s="96" t="s">
        <v>1053</v>
      </c>
      <c r="I106" s="100" t="s">
        <v>715</v>
      </c>
      <c r="J106" s="100" t="s">
        <v>323</v>
      </c>
      <c r="K106" s="101"/>
      <c r="L106" s="101">
        <f>50000000-L105</f>
        <v>10750000</v>
      </c>
      <c r="M106" s="99" t="str">
        <f>VLOOKUP(I106,SDDK!$C$6:$D$201,2,0)</f>
        <v>Đầu tư ngắn hạn khác</v>
      </c>
      <c r="N106" s="99" t="str">
        <f>VLOOKUP(J106,SDDK!$C$6:$D$201,2,0)</f>
        <v>Tiền mặt tại quỹ, ngân phiếu (VNĐ)</v>
      </c>
    </row>
    <row r="107" spans="1:14" ht="12.75">
      <c r="A107" s="95" t="str">
        <f t="shared" si="1"/>
        <v>25/10/2020</v>
      </c>
      <c r="B107" s="96"/>
      <c r="C107" s="96" t="s">
        <v>265</v>
      </c>
      <c r="D107" s="96"/>
      <c r="E107" s="97"/>
      <c r="F107" s="98" t="s">
        <v>968</v>
      </c>
      <c r="G107" s="96" t="s">
        <v>602</v>
      </c>
      <c r="H107" s="96" t="s">
        <v>1054</v>
      </c>
      <c r="I107" s="100" t="s">
        <v>62</v>
      </c>
      <c r="J107" s="100" t="s">
        <v>384</v>
      </c>
      <c r="K107" s="101">
        <v>144</v>
      </c>
      <c r="L107" s="101">
        <f>144*392500</f>
        <v>56520000</v>
      </c>
      <c r="M107" s="99" t="str">
        <f>VLOOKUP(I107,SDDK!$C$6:$D$201,2,0)</f>
        <v>Giá vốn hàng bán</v>
      </c>
      <c r="N107" s="99" t="str">
        <f>VLOOKUP(J107,SDDK!$C$6:$D$201,2,0)</f>
        <v>Vải thun coton</v>
      </c>
    </row>
    <row r="108" spans="1:14" ht="12.75">
      <c r="A108" s="95" t="str">
        <f t="shared" si="1"/>
        <v>25/10/2020</v>
      </c>
      <c r="B108" s="97"/>
      <c r="C108" s="97"/>
      <c r="D108" s="96" t="s">
        <v>513</v>
      </c>
      <c r="E108" s="97" t="s">
        <v>649</v>
      </c>
      <c r="F108" s="98" t="s">
        <v>968</v>
      </c>
      <c r="G108" s="1" t="s">
        <v>969</v>
      </c>
      <c r="H108" s="96" t="s">
        <v>1055</v>
      </c>
      <c r="I108" s="100" t="s">
        <v>345</v>
      </c>
      <c r="J108" s="100" t="s">
        <v>15</v>
      </c>
      <c r="K108" s="101">
        <v>144</v>
      </c>
      <c r="L108" s="101">
        <f>K108*520000</f>
        <v>74880000</v>
      </c>
      <c r="M108" s="99" t="str">
        <f>VLOOKUP(I108,SDDK!$C$6:$D$201,2,0)</f>
        <v>Phải thu ngắn hạn Công ty TNHH Hồng Ký</v>
      </c>
      <c r="N108" s="99" t="str">
        <f>VLOOKUP(J108,SDDK!$C$6:$D$201,2,0)</f>
        <v>Doanh thu bán thành phẩm</v>
      </c>
    </row>
    <row r="109" spans="1:14" ht="12.75">
      <c r="A109" s="95" t="str">
        <f t="shared" si="1"/>
        <v>25/10/2020</v>
      </c>
      <c r="B109" s="97"/>
      <c r="C109" s="97"/>
      <c r="D109" s="96" t="s">
        <v>513</v>
      </c>
      <c r="E109" s="97" t="s">
        <v>649</v>
      </c>
      <c r="F109" s="98" t="s">
        <v>968</v>
      </c>
      <c r="G109" s="1" t="s">
        <v>969</v>
      </c>
      <c r="H109" s="96" t="s">
        <v>1016</v>
      </c>
      <c r="I109" s="100" t="s">
        <v>345</v>
      </c>
      <c r="J109" s="100" t="s">
        <v>161</v>
      </c>
      <c r="K109" s="101"/>
      <c r="L109" s="101">
        <f>L108*0.1</f>
        <v>7488000</v>
      </c>
      <c r="M109" s="99" t="str">
        <f>VLOOKUP(I109,SDDK!$C$6:$D$201,2,0)</f>
        <v>Phải thu ngắn hạn Công ty TNHH Hồng Ký</v>
      </c>
      <c r="N109" s="99" t="str">
        <f>VLOOKUP(J109,SDDK!$C$6:$D$201,2,0)</f>
        <v>Thuế GTGT đầu ra hoạt động kinh doanh</v>
      </c>
    </row>
    <row r="110" spans="1:14" ht="12.75">
      <c r="A110" s="95" t="str">
        <f t="shared" si="1"/>
        <v>25/10/2020</v>
      </c>
      <c r="B110" s="96"/>
      <c r="C110" s="97"/>
      <c r="D110" s="96" t="s">
        <v>514</v>
      </c>
      <c r="E110" s="96" t="s">
        <v>676</v>
      </c>
      <c r="F110" s="98" t="s">
        <v>968</v>
      </c>
      <c r="G110" s="96" t="s">
        <v>749</v>
      </c>
      <c r="H110" s="96" t="s">
        <v>1056</v>
      </c>
      <c r="I110" s="100" t="s">
        <v>412</v>
      </c>
      <c r="J110" s="100" t="s">
        <v>326</v>
      </c>
      <c r="K110" s="101"/>
      <c r="L110" s="101">
        <v>5000000</v>
      </c>
      <c r="M110" s="99" t="str">
        <f>VLOOKUP(I110,SDDK!$C$6:$D$201,2,0)</f>
        <v>Phải trả ngắn hạn Công ty TNHH Mỹ Lệ</v>
      </c>
      <c r="N110" s="99" t="str">
        <f>VLOOKUP(J110,SDDK!$C$6:$D$201,2,0)</f>
        <v>Tiền gửi ngân hàng (VNĐ)</v>
      </c>
    </row>
    <row r="111" spans="1:14" ht="12.75">
      <c r="A111" s="95" t="str">
        <f t="shared" si="1"/>
        <v>25/10/2020</v>
      </c>
      <c r="B111" s="96"/>
      <c r="C111" s="97"/>
      <c r="D111" s="96" t="s">
        <v>515</v>
      </c>
      <c r="E111" s="96" t="s">
        <v>677</v>
      </c>
      <c r="F111" s="98" t="s">
        <v>968</v>
      </c>
      <c r="G111" s="1" t="s">
        <v>970</v>
      </c>
      <c r="H111" s="96" t="s">
        <v>1057</v>
      </c>
      <c r="I111" s="100" t="s">
        <v>326</v>
      </c>
      <c r="J111" s="100" t="s">
        <v>341</v>
      </c>
      <c r="K111" s="101"/>
      <c r="L111" s="101">
        <v>9000000</v>
      </c>
      <c r="M111" s="99" t="str">
        <f>VLOOKUP(I111,SDDK!$C$6:$D$201,2,0)</f>
        <v>Tiền gửi ngân hàng (VNĐ)</v>
      </c>
      <c r="N111" s="99" t="str">
        <f>VLOOKUP(J111,SDDK!$C$6:$D$201,2,0)</f>
        <v>Phải thu ngắn hạn Công ty TNHH Minh Long</v>
      </c>
    </row>
    <row r="112" spans="1:14" ht="12.75">
      <c r="A112" s="95" t="str">
        <f t="shared" si="1"/>
        <v>25/10/2020</v>
      </c>
      <c r="B112" s="97"/>
      <c r="C112" s="96" t="s">
        <v>266</v>
      </c>
      <c r="D112" s="96"/>
      <c r="E112" s="97"/>
      <c r="F112" s="98" t="s">
        <v>968</v>
      </c>
      <c r="G112" s="96" t="s">
        <v>602</v>
      </c>
      <c r="H112" s="96" t="s">
        <v>1058</v>
      </c>
      <c r="I112" s="100" t="s">
        <v>27</v>
      </c>
      <c r="J112" s="100" t="s">
        <v>376</v>
      </c>
      <c r="K112" s="101">
        <v>20000</v>
      </c>
      <c r="L112" s="101">
        <f>K112*10651</f>
        <v>213020000</v>
      </c>
      <c r="M112" s="99" t="str">
        <f>VLOOKUP(I112,SDDK!$C$6:$D$201,2,0)</f>
        <v>Chi phí NVL trực tiếp cho Thảm lót chân</v>
      </c>
      <c r="N112" s="99" t="str">
        <f>VLOOKUP(J112,SDDK!$C$6:$D$201,2,0)</f>
        <v>Thuốc nhuộm màu xanh đen C02</v>
      </c>
    </row>
    <row r="113" spans="1:14" ht="12.75">
      <c r="A113" s="95" t="str">
        <f t="shared" si="1"/>
        <v>25/10/2020</v>
      </c>
      <c r="B113" s="97"/>
      <c r="C113" s="96" t="s">
        <v>266</v>
      </c>
      <c r="D113" s="96"/>
      <c r="E113" s="97"/>
      <c r="F113" s="98" t="s">
        <v>968</v>
      </c>
      <c r="G113" s="96" t="s">
        <v>602</v>
      </c>
      <c r="H113" s="96" t="s">
        <v>1059</v>
      </c>
      <c r="I113" s="100" t="s">
        <v>29</v>
      </c>
      <c r="J113" s="100" t="s">
        <v>376</v>
      </c>
      <c r="K113" s="101">
        <v>2550</v>
      </c>
      <c r="L113" s="101">
        <f>K113*10651</f>
        <v>27160050</v>
      </c>
      <c r="M113" s="99" t="str">
        <f>VLOOKUP(I113,SDDK!$C$6:$D$201,2,0)</f>
        <v>Chi phí NVL trực tiếp cho Dịch vụ sửa chữa</v>
      </c>
      <c r="N113" s="99" t="str">
        <f>VLOOKUP(J113,SDDK!$C$6:$D$201,2,0)</f>
        <v>Thuốc nhuộm màu xanh đen C02</v>
      </c>
    </row>
    <row r="114" spans="1:14" ht="12.75">
      <c r="A114" s="95" t="str">
        <f t="shared" si="1"/>
        <v>25/10/2020</v>
      </c>
      <c r="B114" s="97"/>
      <c r="C114" s="96" t="s">
        <v>266</v>
      </c>
      <c r="D114" s="96"/>
      <c r="E114" s="97"/>
      <c r="F114" s="98" t="s">
        <v>968</v>
      </c>
      <c r="G114" s="96" t="s">
        <v>602</v>
      </c>
      <c r="H114" s="96" t="s">
        <v>1060</v>
      </c>
      <c r="I114" s="100" t="s">
        <v>27</v>
      </c>
      <c r="J114" s="102" t="s">
        <v>375</v>
      </c>
      <c r="K114" s="101">
        <v>14500</v>
      </c>
      <c r="L114" s="101">
        <f>14500*18585</f>
        <v>269482500</v>
      </c>
      <c r="M114" s="99" t="str">
        <f>VLOOKUP(I114,SDDK!$C$6:$D$201,2,0)</f>
        <v>Chi phí NVL trực tiếp cho Thảm lót chân</v>
      </c>
      <c r="N114" s="99" t="str">
        <f>VLOOKUP(J114,SDDK!$C$6:$D$201,2,0)</f>
        <v>Sợi thun coton thô</v>
      </c>
    </row>
    <row r="115" spans="1:14" ht="12.75">
      <c r="A115" s="95" t="str">
        <f t="shared" si="1"/>
        <v>25/10/2020</v>
      </c>
      <c r="B115" s="97"/>
      <c r="C115" s="96" t="s">
        <v>269</v>
      </c>
      <c r="D115" s="96"/>
      <c r="E115" s="97"/>
      <c r="F115" s="98" t="s">
        <v>968</v>
      </c>
      <c r="G115" s="96" t="s">
        <v>602</v>
      </c>
      <c r="H115" s="96" t="s">
        <v>1061</v>
      </c>
      <c r="I115" s="100" t="s">
        <v>38</v>
      </c>
      <c r="J115" s="100" t="s">
        <v>376</v>
      </c>
      <c r="K115" s="101">
        <v>510</v>
      </c>
      <c r="L115" s="101">
        <f>K115*10651</f>
        <v>5432010</v>
      </c>
      <c r="M115" s="99" t="str">
        <f>VLOOKUP(I115,SDDK!$C$6:$D$201,2,0)</f>
        <v>Chi phí nguyên vật liệu  PX1</v>
      </c>
      <c r="N115" s="99" t="str">
        <f>VLOOKUP(J115,SDDK!$C$6:$D$201,2,0)</f>
        <v>Thuốc nhuộm màu xanh đen C02</v>
      </c>
    </row>
    <row r="116" spans="1:14" ht="12.75">
      <c r="A116" s="95" t="str">
        <f t="shared" si="1"/>
        <v>25/10/2020</v>
      </c>
      <c r="B116" s="97"/>
      <c r="C116" s="96" t="s">
        <v>269</v>
      </c>
      <c r="D116" s="96"/>
      <c r="E116" s="97"/>
      <c r="F116" s="98" t="s">
        <v>968</v>
      </c>
      <c r="G116" s="96" t="s">
        <v>602</v>
      </c>
      <c r="H116" s="96" t="s">
        <v>1062</v>
      </c>
      <c r="I116" s="100" t="s">
        <v>40</v>
      </c>
      <c r="J116" s="100" t="s">
        <v>376</v>
      </c>
      <c r="K116" s="101">
        <v>2550</v>
      </c>
      <c r="L116" s="101">
        <f>K116*10651</f>
        <v>27160050</v>
      </c>
      <c r="M116" s="99" t="str">
        <f>VLOOKUP(I116,SDDK!$C$6:$D$201,2,0)</f>
        <v>Chi phí nguyên vật liệu  PX2</v>
      </c>
      <c r="N116" s="99" t="str">
        <f>VLOOKUP(J116,SDDK!$C$6:$D$201,2,0)</f>
        <v>Thuốc nhuộm màu xanh đen C02</v>
      </c>
    </row>
    <row r="117" spans="1:14" ht="12.75">
      <c r="A117" s="95" t="str">
        <f t="shared" si="1"/>
        <v>25/10/2020</v>
      </c>
      <c r="B117" s="97"/>
      <c r="C117" s="96" t="s">
        <v>269</v>
      </c>
      <c r="D117" s="96"/>
      <c r="E117" s="97"/>
      <c r="F117" s="98" t="s">
        <v>968</v>
      </c>
      <c r="G117" s="96" t="s">
        <v>602</v>
      </c>
      <c r="H117" s="96" t="s">
        <v>1063</v>
      </c>
      <c r="I117" s="100" t="s">
        <v>70</v>
      </c>
      <c r="J117" s="100" t="s">
        <v>376</v>
      </c>
      <c r="K117" s="101">
        <v>200</v>
      </c>
      <c r="L117" s="101">
        <f>K117*10651</f>
        <v>2130200</v>
      </c>
      <c r="M117" s="99" t="str">
        <f>VLOOKUP(I117,SDDK!$C$6:$D$201,2,0)</f>
        <v>Chi phí vật liệu, bao bì hàng bán</v>
      </c>
      <c r="N117" s="99" t="str">
        <f>VLOOKUP(J117,SDDK!$C$6:$D$201,2,0)</f>
        <v>Thuốc nhuộm màu xanh đen C02</v>
      </c>
    </row>
    <row r="118" spans="1:14" ht="12.75">
      <c r="A118" s="95" t="str">
        <f t="shared" si="1"/>
        <v>25/10/2020</v>
      </c>
      <c r="B118" s="97"/>
      <c r="C118" s="96" t="s">
        <v>269</v>
      </c>
      <c r="D118" s="96"/>
      <c r="E118" s="97"/>
      <c r="F118" s="98" t="s">
        <v>968</v>
      </c>
      <c r="G118" s="96" t="s">
        <v>602</v>
      </c>
      <c r="H118" s="96" t="s">
        <v>1064</v>
      </c>
      <c r="I118" s="100" t="s">
        <v>84</v>
      </c>
      <c r="J118" s="100" t="s">
        <v>376</v>
      </c>
      <c r="K118" s="101">
        <v>379</v>
      </c>
      <c r="L118" s="101">
        <f>K118*10651</f>
        <v>4036729</v>
      </c>
      <c r="M118" s="99" t="str">
        <f>VLOOKUP(I118,SDDK!$C$6:$D$201,2,0)</f>
        <v>Chi phí vật liệu quản lý doanh nghiệp</v>
      </c>
      <c r="N118" s="99" t="str">
        <f>VLOOKUP(J118,SDDK!$C$6:$D$201,2,0)</f>
        <v>Thuốc nhuộm màu xanh đen C02</v>
      </c>
    </row>
    <row r="119" spans="1:14" ht="12.75">
      <c r="A119" s="95" t="str">
        <f t="shared" si="1"/>
        <v>26/10/2020</v>
      </c>
      <c r="B119" s="97"/>
      <c r="C119" s="96" t="s">
        <v>267</v>
      </c>
      <c r="D119" s="96"/>
      <c r="E119" s="97"/>
      <c r="F119" s="98" t="s">
        <v>971</v>
      </c>
      <c r="G119" s="96" t="s">
        <v>602</v>
      </c>
      <c r="H119" s="96" t="s">
        <v>1065</v>
      </c>
      <c r="I119" s="100" t="s">
        <v>385</v>
      </c>
      <c r="J119" s="100" t="s">
        <v>382</v>
      </c>
      <c r="K119" s="101">
        <v>500</v>
      </c>
      <c r="L119" s="101">
        <f>500*317500</f>
        <v>158750000</v>
      </c>
      <c r="M119" s="99" t="str">
        <f>VLOOKUP(I119,SDDK!$C$6:$D$201,2,0)</f>
        <v>Thảm lót chân</v>
      </c>
      <c r="N119" s="99" t="str">
        <f>VLOOKUP(J119,SDDK!$C$6:$D$201,2,0)</f>
        <v>Chi phí SXKD dở dang Thảm lót chân (giá kế hoạch 5500)</v>
      </c>
    </row>
    <row r="120" spans="1:14" ht="12.75">
      <c r="A120" s="95" t="str">
        <f t="shared" si="1"/>
        <v>26/10/2020</v>
      </c>
      <c r="B120" s="97"/>
      <c r="C120" s="96" t="s">
        <v>268</v>
      </c>
      <c r="D120" s="96"/>
      <c r="E120" s="97"/>
      <c r="F120" s="98" t="s">
        <v>971</v>
      </c>
      <c r="G120" s="96" t="s">
        <v>602</v>
      </c>
      <c r="H120" s="96" t="s">
        <v>1066</v>
      </c>
      <c r="I120" s="100" t="s">
        <v>62</v>
      </c>
      <c r="J120" s="100" t="s">
        <v>385</v>
      </c>
      <c r="K120" s="101">
        <v>290</v>
      </c>
      <c r="L120" s="101">
        <f>K120*317545</f>
        <v>92088050</v>
      </c>
      <c r="M120" s="99" t="str">
        <f>VLOOKUP(I120,SDDK!$C$6:$D$201,2,0)</f>
        <v>Giá vốn hàng bán</v>
      </c>
      <c r="N120" s="99" t="str">
        <f>VLOOKUP(J120,SDDK!$C$6:$D$201,2,0)</f>
        <v>Thảm lót chân</v>
      </c>
    </row>
    <row r="121" spans="1:14" ht="12.75">
      <c r="A121" s="95" t="str">
        <f t="shared" si="1"/>
        <v>26/10/2020</v>
      </c>
      <c r="B121" s="97"/>
      <c r="C121" s="97"/>
      <c r="D121" s="96" t="s">
        <v>516</v>
      </c>
      <c r="E121" s="97" t="s">
        <v>650</v>
      </c>
      <c r="F121" s="98" t="s">
        <v>971</v>
      </c>
      <c r="G121" s="96" t="s">
        <v>118</v>
      </c>
      <c r="H121" s="96" t="s">
        <v>1067</v>
      </c>
      <c r="I121" s="100" t="s">
        <v>349</v>
      </c>
      <c r="J121" s="100" t="s">
        <v>15</v>
      </c>
      <c r="K121" s="101">
        <v>290</v>
      </c>
      <c r="L121" s="101">
        <f>K121*390000</f>
        <v>113100000</v>
      </c>
      <c r="M121" s="99" t="str">
        <f>VLOOKUP(I121,SDDK!$C$6:$D$201,2,0)</f>
        <v>Phải thu dài hạn Xí Nghiệp LIDOVIT</v>
      </c>
      <c r="N121" s="99" t="str">
        <f>VLOOKUP(J121,SDDK!$C$6:$D$201,2,0)</f>
        <v>Doanh thu bán thành phẩm</v>
      </c>
    </row>
    <row r="122" spans="1:14" ht="12.75">
      <c r="A122" s="95" t="str">
        <f t="shared" si="1"/>
        <v>26/10/2020</v>
      </c>
      <c r="B122" s="97"/>
      <c r="C122" s="97"/>
      <c r="D122" s="96" t="s">
        <v>516</v>
      </c>
      <c r="E122" s="97" t="s">
        <v>650</v>
      </c>
      <c r="F122" s="98" t="s">
        <v>971</v>
      </c>
      <c r="G122" s="96" t="s">
        <v>118</v>
      </c>
      <c r="H122" s="96" t="s">
        <v>1068</v>
      </c>
      <c r="I122" s="100" t="s">
        <v>349</v>
      </c>
      <c r="J122" s="100" t="s">
        <v>161</v>
      </c>
      <c r="K122" s="101"/>
      <c r="L122" s="101">
        <f>L121*0.05</f>
        <v>5655000</v>
      </c>
      <c r="M122" s="99" t="str">
        <f>VLOOKUP(I122,SDDK!$C$6:$D$201,2,0)</f>
        <v>Phải thu dài hạn Xí Nghiệp LIDOVIT</v>
      </c>
      <c r="N122" s="99" t="str">
        <f>VLOOKUP(J122,SDDK!$C$6:$D$201,2,0)</f>
        <v>Thuế GTGT đầu ra hoạt động kinh doanh</v>
      </c>
    </row>
    <row r="123" spans="1:14" ht="12.75">
      <c r="A123" s="95" t="str">
        <f t="shared" si="1"/>
        <v>27/10/2020</v>
      </c>
      <c r="B123" s="97"/>
      <c r="C123" s="96" t="s">
        <v>270</v>
      </c>
      <c r="D123" s="96"/>
      <c r="E123" s="97"/>
      <c r="F123" s="98" t="s">
        <v>972</v>
      </c>
      <c r="G123" s="96" t="s">
        <v>602</v>
      </c>
      <c r="H123" s="96" t="s">
        <v>1069</v>
      </c>
      <c r="I123" s="100" t="s">
        <v>38</v>
      </c>
      <c r="J123" s="102" t="s">
        <v>378</v>
      </c>
      <c r="K123" s="101">
        <v>530</v>
      </c>
      <c r="L123" s="101">
        <f>K123*16371</f>
        <v>8676630</v>
      </c>
      <c r="M123" s="99" t="str">
        <f>VLOOKUP(I123,SDDK!$C$6:$D$201,2,0)</f>
        <v>Chi phí nguyên vật liệu  PX1</v>
      </c>
      <c r="N123" s="99" t="str">
        <f>VLOOKUP(J123,SDDK!$C$6:$D$201,2,0)</f>
        <v>Nhiên liệu Dầu nhớt Deizel</v>
      </c>
    </row>
    <row r="124" spans="1:14" ht="12.75">
      <c r="A124" s="95" t="str">
        <f t="shared" si="1"/>
        <v>27/10/2020</v>
      </c>
      <c r="B124" s="97"/>
      <c r="C124" s="96" t="s">
        <v>270</v>
      </c>
      <c r="D124" s="96"/>
      <c r="E124" s="97"/>
      <c r="F124" s="98" t="s">
        <v>972</v>
      </c>
      <c r="G124" s="96" t="s">
        <v>602</v>
      </c>
      <c r="H124" s="96" t="s">
        <v>1070</v>
      </c>
      <c r="I124" s="100" t="s">
        <v>40</v>
      </c>
      <c r="J124" s="102" t="s">
        <v>378</v>
      </c>
      <c r="K124" s="101">
        <v>50</v>
      </c>
      <c r="L124" s="101">
        <f>K124*16371</f>
        <v>818550</v>
      </c>
      <c r="M124" s="99" t="str">
        <f>VLOOKUP(I124,SDDK!$C$6:$D$201,2,0)</f>
        <v>Chi phí nguyên vật liệu  PX2</v>
      </c>
      <c r="N124" s="99" t="str">
        <f>VLOOKUP(J124,SDDK!$C$6:$D$201,2,0)</f>
        <v>Nhiên liệu Dầu nhớt Deizel</v>
      </c>
    </row>
    <row r="125" spans="1:14" ht="12.75">
      <c r="A125" s="95" t="str">
        <f t="shared" si="1"/>
        <v>27/10/2020</v>
      </c>
      <c r="B125" s="97"/>
      <c r="C125" s="96" t="s">
        <v>270</v>
      </c>
      <c r="D125" s="96"/>
      <c r="E125" s="97"/>
      <c r="F125" s="98" t="s">
        <v>972</v>
      </c>
      <c r="G125" s="96" t="s">
        <v>602</v>
      </c>
      <c r="H125" s="96" t="s">
        <v>1071</v>
      </c>
      <c r="I125" s="100" t="s">
        <v>84</v>
      </c>
      <c r="J125" s="102" t="s">
        <v>378</v>
      </c>
      <c r="K125" s="101">
        <v>83</v>
      </c>
      <c r="L125" s="101">
        <f>K125*16371</f>
        <v>1358793</v>
      </c>
      <c r="M125" s="99" t="str">
        <f>VLOOKUP(I125,SDDK!$C$6:$D$201,2,0)</f>
        <v>Chi phí vật liệu quản lý doanh nghiệp</v>
      </c>
      <c r="N125" s="99" t="str">
        <f>VLOOKUP(J125,SDDK!$C$6:$D$201,2,0)</f>
        <v>Nhiên liệu Dầu nhớt Deizel</v>
      </c>
    </row>
    <row r="126" spans="1:14" ht="12.75">
      <c r="A126" s="95" t="str">
        <f t="shared" si="1"/>
        <v>27/10/2020</v>
      </c>
      <c r="B126" s="97"/>
      <c r="C126" s="96" t="s">
        <v>272</v>
      </c>
      <c r="D126" s="96"/>
      <c r="E126" s="97"/>
      <c r="F126" s="98" t="s">
        <v>972</v>
      </c>
      <c r="G126" s="96" t="s">
        <v>602</v>
      </c>
      <c r="H126" s="96" t="s">
        <v>1072</v>
      </c>
      <c r="I126" s="100" t="s">
        <v>806</v>
      </c>
      <c r="J126" s="100" t="s">
        <v>718</v>
      </c>
      <c r="K126" s="101">
        <v>25</v>
      </c>
      <c r="L126" s="101">
        <f>K126*245000</f>
        <v>6125000</v>
      </c>
      <c r="M126" s="99" t="str">
        <f>VLOOKUP(I126,SDDK!$C$6:$D$201,2,0)</f>
        <v>Chi phí trả trước ngắn hạn - SC TSCĐ</v>
      </c>
      <c r="N126" s="99" t="str">
        <f>VLOOKUP(J126,SDDK!$C$6:$D$201,2,0)</f>
        <v>Kéo cắt vải</v>
      </c>
    </row>
    <row r="127" spans="1:14" ht="12.75">
      <c r="A127" s="95" t="str">
        <f t="shared" si="1"/>
        <v>27/10/2020</v>
      </c>
      <c r="B127" s="97"/>
      <c r="C127" s="96" t="s">
        <v>273</v>
      </c>
      <c r="D127" s="96"/>
      <c r="E127" s="97"/>
      <c r="F127" s="98" t="s">
        <v>972</v>
      </c>
      <c r="G127" s="96" t="s">
        <v>602</v>
      </c>
      <c r="H127" s="96" t="s">
        <v>1073</v>
      </c>
      <c r="I127" s="100" t="s">
        <v>86</v>
      </c>
      <c r="J127" s="100" t="s">
        <v>718</v>
      </c>
      <c r="K127" s="101">
        <v>4</v>
      </c>
      <c r="L127" s="101">
        <f>K127*245000</f>
        <v>980000</v>
      </c>
      <c r="M127" s="99" t="str">
        <f>VLOOKUP(I127,SDDK!$C$6:$D$201,2,0)</f>
        <v>Chi phí dụng cụ, đồ dùng quản lý doanh nghiệp</v>
      </c>
      <c r="N127" s="99" t="str">
        <f>VLOOKUP(J127,SDDK!$C$6:$D$201,2,0)</f>
        <v>Kéo cắt vải</v>
      </c>
    </row>
    <row r="128" spans="1:14" ht="12.75">
      <c r="A128" s="95" t="str">
        <f t="shared" si="1"/>
        <v>27/10/2020</v>
      </c>
      <c r="B128" s="97"/>
      <c r="C128" s="97"/>
      <c r="D128" s="96" t="s">
        <v>517</v>
      </c>
      <c r="E128" s="96" t="s">
        <v>678</v>
      </c>
      <c r="F128" s="98" t="s">
        <v>972</v>
      </c>
      <c r="G128" s="96"/>
      <c r="H128" s="96" t="s">
        <v>1074</v>
      </c>
      <c r="I128" s="100" t="s">
        <v>86</v>
      </c>
      <c r="J128" s="100" t="s">
        <v>806</v>
      </c>
      <c r="K128" s="101"/>
      <c r="L128" s="101">
        <f>L126/2</f>
        <v>3062500</v>
      </c>
      <c r="M128" s="99" t="str">
        <f>VLOOKUP(I128,SDDK!$C$6:$D$201,2,0)</f>
        <v>Chi phí dụng cụ, đồ dùng quản lý doanh nghiệp</v>
      </c>
      <c r="N128" s="99" t="str">
        <f>VLOOKUP(J128,SDDK!$C$6:$D$201,2,0)</f>
        <v>Chi phí trả trước ngắn hạn - SC TSCĐ</v>
      </c>
    </row>
    <row r="129" spans="1:14" ht="12.75">
      <c r="A129" s="95" t="str">
        <f t="shared" si="1"/>
        <v>28/10/2020</v>
      </c>
      <c r="B129" s="96"/>
      <c r="C129" s="97"/>
      <c r="D129" s="96" t="s">
        <v>518</v>
      </c>
      <c r="E129" s="96" t="s">
        <v>679</v>
      </c>
      <c r="F129" s="98" t="s">
        <v>973</v>
      </c>
      <c r="G129" s="96" t="s">
        <v>750</v>
      </c>
      <c r="H129" s="96" t="s">
        <v>1075</v>
      </c>
      <c r="I129" s="100" t="s">
        <v>410</v>
      </c>
      <c r="J129" s="100" t="s">
        <v>326</v>
      </c>
      <c r="K129" s="101"/>
      <c r="L129" s="101">
        <v>80000000</v>
      </c>
      <c r="M129" s="99" t="str">
        <f>VLOOKUP(I129,SDDK!$C$6:$D$201,2,0)</f>
        <v>Phải trả ngắn hạn Công ty TNHH Khanh Hòa</v>
      </c>
      <c r="N129" s="99" t="str">
        <f>VLOOKUP(J129,SDDK!$C$6:$D$201,2,0)</f>
        <v>Tiền gửi ngân hàng (VNĐ)</v>
      </c>
    </row>
    <row r="130" spans="1:14" ht="12.75">
      <c r="A130" s="95" t="str">
        <f t="shared" si="1"/>
        <v>28/10/2020</v>
      </c>
      <c r="B130" s="97"/>
      <c r="C130" s="97"/>
      <c r="D130" s="96" t="s">
        <v>519</v>
      </c>
      <c r="E130" s="97" t="s">
        <v>680</v>
      </c>
      <c r="F130" s="98" t="s">
        <v>973</v>
      </c>
      <c r="G130" s="96" t="s">
        <v>193</v>
      </c>
      <c r="H130" s="96" t="s">
        <v>1076</v>
      </c>
      <c r="I130" s="100" t="s">
        <v>96</v>
      </c>
      <c r="J130" s="100" t="s">
        <v>373</v>
      </c>
      <c r="K130" s="101"/>
      <c r="L130" s="101">
        <v>9000000</v>
      </c>
      <c r="M130" s="99" t="str">
        <f>VLOOKUP(I130,SDDK!$C$6:$D$201,2,0)</f>
        <v>Chi phí bằng tiền khác quản lý doanh nghiệp</v>
      </c>
      <c r="N130" s="99" t="str">
        <f>VLOOKUP(J130,SDDK!$C$6:$D$201,2,0)</f>
        <v>Nguyễn Minh Ngân</v>
      </c>
    </row>
    <row r="131" spans="1:14" ht="12.75">
      <c r="A131" s="95" t="str">
        <f t="shared" si="1"/>
        <v>28/10/2020</v>
      </c>
      <c r="B131" s="97"/>
      <c r="C131" s="96" t="s">
        <v>274</v>
      </c>
      <c r="D131" s="96"/>
      <c r="E131" s="97"/>
      <c r="F131" s="98" t="s">
        <v>973</v>
      </c>
      <c r="G131" s="96" t="s">
        <v>602</v>
      </c>
      <c r="H131" s="96" t="s">
        <v>1065</v>
      </c>
      <c r="I131" s="100" t="s">
        <v>385</v>
      </c>
      <c r="J131" s="100" t="s">
        <v>382</v>
      </c>
      <c r="K131" s="101">
        <v>500</v>
      </c>
      <c r="L131" s="101">
        <f>500*317500</f>
        <v>158750000</v>
      </c>
      <c r="M131" s="99" t="str">
        <f>VLOOKUP(I131,SDDK!$C$6:$D$201,2,0)</f>
        <v>Thảm lót chân</v>
      </c>
      <c r="N131" s="99" t="str">
        <f>VLOOKUP(J131,SDDK!$C$6:$D$201,2,0)</f>
        <v>Chi phí SXKD dở dang Thảm lót chân (giá kế hoạch 5500)</v>
      </c>
    </row>
    <row r="132" spans="1:14" ht="12.75">
      <c r="A132" s="95" t="str">
        <f t="shared" si="1"/>
        <v>28/10/2020</v>
      </c>
      <c r="B132" s="96"/>
      <c r="C132" s="97"/>
      <c r="D132" s="96" t="s">
        <v>520</v>
      </c>
      <c r="E132" s="96" t="s">
        <v>681</v>
      </c>
      <c r="F132" s="98" t="s">
        <v>973</v>
      </c>
      <c r="G132" s="96" t="s">
        <v>118</v>
      </c>
      <c r="H132" s="96" t="s">
        <v>1077</v>
      </c>
      <c r="I132" s="100" t="s">
        <v>326</v>
      </c>
      <c r="J132" s="100" t="s">
        <v>342</v>
      </c>
      <c r="K132" s="101"/>
      <c r="L132" s="101">
        <v>1200000</v>
      </c>
      <c r="M132" s="99" t="str">
        <f>VLOOKUP(I132,SDDK!$C$6:$D$201,2,0)</f>
        <v>Tiền gửi ngân hàng (VNĐ)</v>
      </c>
      <c r="N132" s="99" t="str">
        <f>VLOOKUP(J132,SDDK!$C$6:$D$201,2,0)</f>
        <v>Phải thu ngắn hạn Xí Nghiệp LIDOVIT</v>
      </c>
    </row>
    <row r="133" spans="1:14" ht="12.75">
      <c r="A133" s="95" t="str">
        <f t="shared" si="1"/>
        <v>28/10/2020</v>
      </c>
      <c r="B133" s="97"/>
      <c r="C133" s="96" t="s">
        <v>275</v>
      </c>
      <c r="D133" s="96"/>
      <c r="E133" s="97"/>
      <c r="F133" s="98" t="s">
        <v>973</v>
      </c>
      <c r="G133" s="96" t="s">
        <v>602</v>
      </c>
      <c r="H133" s="96" t="s">
        <v>1078</v>
      </c>
      <c r="I133" s="100" t="s">
        <v>62</v>
      </c>
      <c r="J133" s="100" t="s">
        <v>384</v>
      </c>
      <c r="K133" s="101">
        <v>100</v>
      </c>
      <c r="L133" s="101">
        <f>K133*392500</f>
        <v>39250000</v>
      </c>
      <c r="M133" s="99" t="str">
        <f>VLOOKUP(I133,SDDK!$C$6:$D$201,2,0)</f>
        <v>Giá vốn hàng bán</v>
      </c>
      <c r="N133" s="99" t="str">
        <f>VLOOKUP(J133,SDDK!$C$6:$D$201,2,0)</f>
        <v>Vải thun coton</v>
      </c>
    </row>
    <row r="134" spans="1:14" ht="12.75">
      <c r="A134" s="95" t="str">
        <f aca="true" t="shared" si="2" ref="A134:A197">F134</f>
        <v>28/10/2020</v>
      </c>
      <c r="B134" s="97"/>
      <c r="C134" s="96"/>
      <c r="D134" s="96" t="s">
        <v>521</v>
      </c>
      <c r="E134" s="97" t="s">
        <v>651</v>
      </c>
      <c r="F134" s="98" t="s">
        <v>973</v>
      </c>
      <c r="G134" s="96" t="s">
        <v>260</v>
      </c>
      <c r="H134" s="96" t="s">
        <v>1079</v>
      </c>
      <c r="I134" s="100" t="s">
        <v>340</v>
      </c>
      <c r="J134" s="100" t="s">
        <v>15</v>
      </c>
      <c r="K134" s="101">
        <v>100</v>
      </c>
      <c r="L134" s="101">
        <f>100*510000</f>
        <v>51000000</v>
      </c>
      <c r="M134" s="99" t="str">
        <f>VLOOKUP(I134,SDDK!$C$6:$D$201,2,0)</f>
        <v>Phải thu ngắn hạn Công ty Metro</v>
      </c>
      <c r="N134" s="99" t="str">
        <f>VLOOKUP(J134,SDDK!$C$6:$D$201,2,0)</f>
        <v>Doanh thu bán thành phẩm</v>
      </c>
    </row>
    <row r="135" spans="1:14" ht="12.75">
      <c r="A135" s="95" t="str">
        <f t="shared" si="2"/>
        <v>28/10/2020</v>
      </c>
      <c r="B135" s="97"/>
      <c r="C135" s="96"/>
      <c r="D135" s="96" t="s">
        <v>521</v>
      </c>
      <c r="E135" s="97" t="s">
        <v>651</v>
      </c>
      <c r="F135" s="98" t="s">
        <v>973</v>
      </c>
      <c r="G135" s="96" t="s">
        <v>260</v>
      </c>
      <c r="H135" s="96" t="s">
        <v>1016</v>
      </c>
      <c r="I135" s="100" t="s">
        <v>340</v>
      </c>
      <c r="J135" s="100" t="s">
        <v>161</v>
      </c>
      <c r="K135" s="101"/>
      <c r="L135" s="101">
        <f>L134*0.1</f>
        <v>5100000</v>
      </c>
      <c r="M135" s="99" t="str">
        <f>VLOOKUP(I135,SDDK!$C$6:$D$201,2,0)</f>
        <v>Phải thu ngắn hạn Công ty Metro</v>
      </c>
      <c r="N135" s="99" t="str">
        <f>VLOOKUP(J135,SDDK!$C$6:$D$201,2,0)</f>
        <v>Thuế GTGT đầu ra hoạt động kinh doanh</v>
      </c>
    </row>
    <row r="136" spans="1:14" ht="12.75">
      <c r="A136" s="95" t="str">
        <f t="shared" si="2"/>
        <v>28/10/2020</v>
      </c>
      <c r="B136" s="96"/>
      <c r="C136" s="97"/>
      <c r="D136" s="96" t="s">
        <v>522</v>
      </c>
      <c r="E136" s="96" t="s">
        <v>682</v>
      </c>
      <c r="F136" s="98" t="s">
        <v>973</v>
      </c>
      <c r="G136" s="96" t="s">
        <v>752</v>
      </c>
      <c r="H136" s="96" t="s">
        <v>1080</v>
      </c>
      <c r="I136" s="100" t="s">
        <v>422</v>
      </c>
      <c r="J136" s="100" t="s">
        <v>326</v>
      </c>
      <c r="K136" s="101"/>
      <c r="L136" s="101">
        <v>60000000</v>
      </c>
      <c r="M136" s="99" t="str">
        <f>VLOOKUP(I136,SDDK!$C$6:$D$201,2,0)</f>
        <v>Phải trả ngắn hạn Công ty TNHH Thiên Phú</v>
      </c>
      <c r="N136" s="99" t="str">
        <f>VLOOKUP(J136,SDDK!$C$6:$D$201,2,0)</f>
        <v>Tiền gửi ngân hàng (VNĐ)</v>
      </c>
    </row>
    <row r="137" spans="1:14" ht="12.75">
      <c r="A137" s="95" t="str">
        <f t="shared" si="2"/>
        <v>28/10/2020</v>
      </c>
      <c r="B137" s="96"/>
      <c r="C137" s="97"/>
      <c r="D137" s="96" t="s">
        <v>523</v>
      </c>
      <c r="E137" s="96" t="s">
        <v>683</v>
      </c>
      <c r="F137" s="98" t="s">
        <v>973</v>
      </c>
      <c r="G137" s="96" t="s">
        <v>755</v>
      </c>
      <c r="H137" s="96" t="s">
        <v>1081</v>
      </c>
      <c r="I137" s="100" t="s">
        <v>418</v>
      </c>
      <c r="J137" s="100" t="s">
        <v>326</v>
      </c>
      <c r="K137" s="101"/>
      <c r="L137" s="101">
        <v>30000000</v>
      </c>
      <c r="M137" s="99" t="str">
        <f>VLOOKUP(I137,SDDK!$C$6:$D$201,2,0)</f>
        <v>Phải trả ngắn hạn Công ty CP Tân Tạo</v>
      </c>
      <c r="N137" s="99" t="str">
        <f>VLOOKUP(J137,SDDK!$C$6:$D$201,2,0)</f>
        <v>Tiền gửi ngân hàng (VNĐ)</v>
      </c>
    </row>
    <row r="138" spans="1:14" ht="12.75">
      <c r="A138" s="95" t="str">
        <f t="shared" si="2"/>
        <v>28/10/2020</v>
      </c>
      <c r="B138" s="97"/>
      <c r="C138" s="96" t="s">
        <v>271</v>
      </c>
      <c r="D138" s="96"/>
      <c r="E138" s="97"/>
      <c r="F138" s="98" t="s">
        <v>973</v>
      </c>
      <c r="G138" s="96" t="s">
        <v>602</v>
      </c>
      <c r="H138" s="96" t="s">
        <v>1082</v>
      </c>
      <c r="I138" s="100" t="s">
        <v>26</v>
      </c>
      <c r="J138" s="102" t="s">
        <v>375</v>
      </c>
      <c r="K138" s="101">
        <v>12100</v>
      </c>
      <c r="L138" s="101">
        <f>12100*18585</f>
        <v>224878500</v>
      </c>
      <c r="M138" s="99" t="str">
        <f>VLOOKUP(I138,SDDK!$C$6:$D$201,2,0)</f>
        <v>Chi phí NVL trực tiếp cho Vải thun coton</v>
      </c>
      <c r="N138" s="99" t="str">
        <f>VLOOKUP(J138,SDDK!$C$6:$D$201,2,0)</f>
        <v>Sợi thun coton thô</v>
      </c>
    </row>
    <row r="139" spans="1:14" ht="12.75">
      <c r="A139" s="95" t="str">
        <f t="shared" si="2"/>
        <v>28/10/2020</v>
      </c>
      <c r="B139" s="97"/>
      <c r="C139" s="96" t="s">
        <v>271</v>
      </c>
      <c r="D139" s="96"/>
      <c r="E139" s="97"/>
      <c r="F139" s="98" t="s">
        <v>973</v>
      </c>
      <c r="G139" s="96" t="s">
        <v>602</v>
      </c>
      <c r="H139" s="96" t="s">
        <v>1083</v>
      </c>
      <c r="I139" s="100" t="s">
        <v>26</v>
      </c>
      <c r="J139" s="100" t="s">
        <v>376</v>
      </c>
      <c r="K139" s="101">
        <v>30000</v>
      </c>
      <c r="L139" s="101">
        <f aca="true" t="shared" si="3" ref="L139:L144">K139*10651</f>
        <v>319530000</v>
      </c>
      <c r="M139" s="99" t="str">
        <f>VLOOKUP(I139,SDDK!$C$6:$D$201,2,0)</f>
        <v>Chi phí NVL trực tiếp cho Vải thun coton</v>
      </c>
      <c r="N139" s="99" t="str">
        <f>VLOOKUP(J139,SDDK!$C$6:$D$201,2,0)</f>
        <v>Thuốc nhuộm màu xanh đen C02</v>
      </c>
    </row>
    <row r="140" spans="1:14" ht="12.75">
      <c r="A140" s="95" t="str">
        <f t="shared" si="2"/>
        <v>28/10/2020</v>
      </c>
      <c r="B140" s="97"/>
      <c r="C140" s="96" t="s">
        <v>271</v>
      </c>
      <c r="D140" s="96"/>
      <c r="E140" s="97"/>
      <c r="F140" s="98" t="s">
        <v>973</v>
      </c>
      <c r="G140" s="96" t="s">
        <v>602</v>
      </c>
      <c r="H140" s="96" t="s">
        <v>1084</v>
      </c>
      <c r="I140" s="100" t="s">
        <v>29</v>
      </c>
      <c r="J140" s="100" t="s">
        <v>376</v>
      </c>
      <c r="K140" s="101">
        <v>1275</v>
      </c>
      <c r="L140" s="101">
        <f t="shared" si="3"/>
        <v>13580025</v>
      </c>
      <c r="M140" s="99" t="str">
        <f>VLOOKUP(I140,SDDK!$C$6:$D$201,2,0)</f>
        <v>Chi phí NVL trực tiếp cho Dịch vụ sửa chữa</v>
      </c>
      <c r="N140" s="99" t="str">
        <f>VLOOKUP(J140,SDDK!$C$6:$D$201,2,0)</f>
        <v>Thuốc nhuộm màu xanh đen C02</v>
      </c>
    </row>
    <row r="141" spans="1:14" ht="12.75">
      <c r="A141" s="95" t="str">
        <f t="shared" si="2"/>
        <v>28/10/2020</v>
      </c>
      <c r="B141" s="97"/>
      <c r="C141" s="96" t="s">
        <v>276</v>
      </c>
      <c r="D141" s="96"/>
      <c r="E141" s="97"/>
      <c r="F141" s="98" t="s">
        <v>973</v>
      </c>
      <c r="G141" s="96" t="s">
        <v>602</v>
      </c>
      <c r="H141" s="96" t="s">
        <v>1085</v>
      </c>
      <c r="I141" s="100" t="s">
        <v>38</v>
      </c>
      <c r="J141" s="100" t="s">
        <v>376</v>
      </c>
      <c r="K141" s="101">
        <v>255</v>
      </c>
      <c r="L141" s="101">
        <f t="shared" si="3"/>
        <v>2716005</v>
      </c>
      <c r="M141" s="99" t="str">
        <f>VLOOKUP(I141,SDDK!$C$6:$D$201,2,0)</f>
        <v>Chi phí nguyên vật liệu  PX1</v>
      </c>
      <c r="N141" s="99" t="str">
        <f>VLOOKUP(J141,SDDK!$C$6:$D$201,2,0)</f>
        <v>Thuốc nhuộm màu xanh đen C02</v>
      </c>
    </row>
    <row r="142" spans="1:14" ht="12.75">
      <c r="A142" s="95" t="str">
        <f t="shared" si="2"/>
        <v>28/10/2020</v>
      </c>
      <c r="B142" s="97"/>
      <c r="C142" s="96" t="s">
        <v>276</v>
      </c>
      <c r="D142" s="96"/>
      <c r="E142" s="97"/>
      <c r="F142" s="98" t="s">
        <v>973</v>
      </c>
      <c r="G142" s="96" t="s">
        <v>602</v>
      </c>
      <c r="H142" s="96" t="s">
        <v>1086</v>
      </c>
      <c r="I142" s="100" t="s">
        <v>40</v>
      </c>
      <c r="J142" s="100" t="s">
        <v>376</v>
      </c>
      <c r="K142" s="101">
        <v>1275</v>
      </c>
      <c r="L142" s="101">
        <f t="shared" si="3"/>
        <v>13580025</v>
      </c>
      <c r="M142" s="99" t="str">
        <f>VLOOKUP(I142,SDDK!$C$6:$D$201,2,0)</f>
        <v>Chi phí nguyên vật liệu  PX2</v>
      </c>
      <c r="N142" s="99" t="str">
        <f>VLOOKUP(J142,SDDK!$C$6:$D$201,2,0)</f>
        <v>Thuốc nhuộm màu xanh đen C02</v>
      </c>
    </row>
    <row r="143" spans="1:14" ht="12.75">
      <c r="A143" s="95" t="str">
        <f t="shared" si="2"/>
        <v>28/10/2020</v>
      </c>
      <c r="B143" s="97"/>
      <c r="C143" s="96" t="s">
        <v>277</v>
      </c>
      <c r="D143" s="96"/>
      <c r="E143" s="97"/>
      <c r="F143" s="98" t="s">
        <v>973</v>
      </c>
      <c r="G143" s="96" t="s">
        <v>602</v>
      </c>
      <c r="H143" s="96" t="s">
        <v>1063</v>
      </c>
      <c r="I143" s="100" t="s">
        <v>70</v>
      </c>
      <c r="J143" s="100" t="s">
        <v>376</v>
      </c>
      <c r="K143" s="101">
        <v>120</v>
      </c>
      <c r="L143" s="101">
        <f t="shared" si="3"/>
        <v>1278120</v>
      </c>
      <c r="M143" s="99" t="str">
        <f>VLOOKUP(I143,SDDK!$C$6:$D$201,2,0)</f>
        <v>Chi phí vật liệu, bao bì hàng bán</v>
      </c>
      <c r="N143" s="99" t="str">
        <f>VLOOKUP(J143,SDDK!$C$6:$D$201,2,0)</f>
        <v>Thuốc nhuộm màu xanh đen C02</v>
      </c>
    </row>
    <row r="144" spans="1:14" ht="12.75">
      <c r="A144" s="95" t="str">
        <f t="shared" si="2"/>
        <v>28/10/2020</v>
      </c>
      <c r="B144" s="97"/>
      <c r="C144" s="96" t="s">
        <v>277</v>
      </c>
      <c r="D144" s="96"/>
      <c r="E144" s="97"/>
      <c r="F144" s="98" t="s">
        <v>973</v>
      </c>
      <c r="G144" s="96" t="s">
        <v>602</v>
      </c>
      <c r="H144" s="96" t="s">
        <v>1087</v>
      </c>
      <c r="I144" s="100" t="s">
        <v>84</v>
      </c>
      <c r="J144" s="100" t="s">
        <v>376</v>
      </c>
      <c r="K144" s="101">
        <v>50</v>
      </c>
      <c r="L144" s="101">
        <f t="shared" si="3"/>
        <v>532550</v>
      </c>
      <c r="M144" s="99" t="str">
        <f>VLOOKUP(I144,SDDK!$C$6:$D$201,2,0)</f>
        <v>Chi phí vật liệu quản lý doanh nghiệp</v>
      </c>
      <c r="N144" s="99" t="str">
        <f>VLOOKUP(J144,SDDK!$C$6:$D$201,2,0)</f>
        <v>Thuốc nhuộm màu xanh đen C02</v>
      </c>
    </row>
    <row r="145" spans="1:14" ht="12.75">
      <c r="A145" s="95" t="str">
        <f t="shared" si="2"/>
        <v>28/10/2020</v>
      </c>
      <c r="B145" s="97"/>
      <c r="C145" s="96" t="s">
        <v>278</v>
      </c>
      <c r="D145" s="96"/>
      <c r="E145" s="97"/>
      <c r="F145" s="98" t="s">
        <v>973</v>
      </c>
      <c r="G145" s="96" t="s">
        <v>602</v>
      </c>
      <c r="H145" s="96" t="s">
        <v>1088</v>
      </c>
      <c r="I145" s="100" t="s">
        <v>38</v>
      </c>
      <c r="J145" s="102" t="s">
        <v>378</v>
      </c>
      <c r="K145" s="101">
        <v>281</v>
      </c>
      <c r="L145" s="101">
        <f>K145*16371</f>
        <v>4600251</v>
      </c>
      <c r="M145" s="99" t="str">
        <f>VLOOKUP(I145,SDDK!$C$6:$D$201,2,0)</f>
        <v>Chi phí nguyên vật liệu  PX1</v>
      </c>
      <c r="N145" s="99" t="str">
        <f>VLOOKUP(J145,SDDK!$C$6:$D$201,2,0)</f>
        <v>Nhiên liệu Dầu nhớt Deizel</v>
      </c>
    </row>
    <row r="146" spans="1:14" ht="12.75">
      <c r="A146" s="95" t="str">
        <f t="shared" si="2"/>
        <v>28/10/2020</v>
      </c>
      <c r="B146" s="97"/>
      <c r="C146" s="96" t="s">
        <v>278</v>
      </c>
      <c r="D146" s="96"/>
      <c r="E146" s="97"/>
      <c r="F146" s="98" t="s">
        <v>973</v>
      </c>
      <c r="G146" s="96" t="s">
        <v>602</v>
      </c>
      <c r="H146" s="96" t="s">
        <v>1089</v>
      </c>
      <c r="I146" s="100" t="s">
        <v>40</v>
      </c>
      <c r="J146" s="102" t="s">
        <v>378</v>
      </c>
      <c r="K146" s="101">
        <v>23</v>
      </c>
      <c r="L146" s="101">
        <f>K146*16371</f>
        <v>376533</v>
      </c>
      <c r="M146" s="99" t="str">
        <f>VLOOKUP(I146,SDDK!$C$6:$D$201,2,0)</f>
        <v>Chi phí nguyên vật liệu  PX2</v>
      </c>
      <c r="N146" s="99" t="str">
        <f>VLOOKUP(J146,SDDK!$C$6:$D$201,2,0)</f>
        <v>Nhiên liệu Dầu nhớt Deizel</v>
      </c>
    </row>
    <row r="147" spans="1:14" ht="12.75">
      <c r="A147" s="95" t="str">
        <f t="shared" si="2"/>
        <v>28/10/2020</v>
      </c>
      <c r="B147" s="97"/>
      <c r="C147" s="96" t="s">
        <v>278</v>
      </c>
      <c r="D147" s="96"/>
      <c r="E147" s="97"/>
      <c r="F147" s="98" t="s">
        <v>973</v>
      </c>
      <c r="G147" s="96" t="s">
        <v>602</v>
      </c>
      <c r="H147" s="96" t="s">
        <v>1090</v>
      </c>
      <c r="I147" s="100" t="s">
        <v>84</v>
      </c>
      <c r="J147" s="102" t="s">
        <v>378</v>
      </c>
      <c r="K147" s="101">
        <v>60</v>
      </c>
      <c r="L147" s="101">
        <f>K147*16371</f>
        <v>982260</v>
      </c>
      <c r="M147" s="99" t="str">
        <f>VLOOKUP(I147,SDDK!$C$6:$D$201,2,0)</f>
        <v>Chi phí vật liệu quản lý doanh nghiệp</v>
      </c>
      <c r="N147" s="99" t="str">
        <f>VLOOKUP(J147,SDDK!$C$6:$D$201,2,0)</f>
        <v>Nhiên liệu Dầu nhớt Deizel</v>
      </c>
    </row>
    <row r="148" spans="1:14" ht="12.75">
      <c r="A148" s="95" t="str">
        <f t="shared" si="2"/>
        <v>28/10/2020</v>
      </c>
      <c r="B148" s="97"/>
      <c r="C148" s="96" t="s">
        <v>279</v>
      </c>
      <c r="D148" s="96"/>
      <c r="E148" s="97"/>
      <c r="F148" s="98" t="s">
        <v>973</v>
      </c>
      <c r="G148" s="96" t="s">
        <v>602</v>
      </c>
      <c r="H148" s="96" t="s">
        <v>1091</v>
      </c>
      <c r="I148" s="100" t="s">
        <v>38</v>
      </c>
      <c r="J148" s="102" t="s">
        <v>379</v>
      </c>
      <c r="K148" s="101">
        <v>340</v>
      </c>
      <c r="L148" s="101">
        <f>K148*2140</f>
        <v>727600</v>
      </c>
      <c r="M148" s="99" t="str">
        <f>VLOOKUP(I148,SDDK!$C$6:$D$201,2,0)</f>
        <v>Chi phí nguyên vật liệu  PX1</v>
      </c>
      <c r="N148" s="99" t="str">
        <f>VLOOKUP(J148,SDDK!$C$6:$D$201,2,0)</f>
        <v>Ốc vít, bù loong.</v>
      </c>
    </row>
    <row r="149" spans="1:14" ht="12.75">
      <c r="A149" s="95" t="str">
        <f t="shared" si="2"/>
        <v>28/10/2020</v>
      </c>
      <c r="B149" s="97"/>
      <c r="C149" s="96" t="s">
        <v>279</v>
      </c>
      <c r="D149" s="96"/>
      <c r="E149" s="97"/>
      <c r="F149" s="98" t="s">
        <v>973</v>
      </c>
      <c r="G149" s="96" t="s">
        <v>602</v>
      </c>
      <c r="H149" s="96" t="s">
        <v>1091</v>
      </c>
      <c r="I149" s="100" t="s">
        <v>40</v>
      </c>
      <c r="J149" s="102" t="s">
        <v>379</v>
      </c>
      <c r="K149" s="101">
        <v>68</v>
      </c>
      <c r="L149" s="101">
        <f>K149*2140</f>
        <v>145520</v>
      </c>
      <c r="M149" s="99" t="str">
        <f>VLOOKUP(I149,SDDK!$C$6:$D$201,2,0)</f>
        <v>Chi phí nguyên vật liệu  PX2</v>
      </c>
      <c r="N149" s="99" t="str">
        <f>VLOOKUP(J149,SDDK!$C$6:$D$201,2,0)</f>
        <v>Ốc vít, bù loong.</v>
      </c>
    </row>
    <row r="150" spans="1:14" ht="12.75">
      <c r="A150" s="95" t="str">
        <f t="shared" si="2"/>
        <v>28/10/2020</v>
      </c>
      <c r="B150" s="97"/>
      <c r="C150" s="96" t="s">
        <v>279</v>
      </c>
      <c r="D150" s="96"/>
      <c r="E150" s="97"/>
      <c r="F150" s="98" t="s">
        <v>973</v>
      </c>
      <c r="G150" s="96" t="s">
        <v>602</v>
      </c>
      <c r="H150" s="96" t="s">
        <v>1091</v>
      </c>
      <c r="I150" s="100" t="s">
        <v>84</v>
      </c>
      <c r="J150" s="102" t="s">
        <v>379</v>
      </c>
      <c r="K150" s="101">
        <v>34</v>
      </c>
      <c r="L150" s="101">
        <f>K150*2140</f>
        <v>72760</v>
      </c>
      <c r="M150" s="99" t="str">
        <f>VLOOKUP(I150,SDDK!$C$6:$D$201,2,0)</f>
        <v>Chi phí vật liệu quản lý doanh nghiệp</v>
      </c>
      <c r="N150" s="99" t="str">
        <f>VLOOKUP(J150,SDDK!$C$6:$D$201,2,0)</f>
        <v>Ốc vít, bù loong.</v>
      </c>
    </row>
    <row r="151" spans="1:14" ht="12.75">
      <c r="A151" s="95" t="str">
        <f t="shared" si="2"/>
        <v>28/10/2020</v>
      </c>
      <c r="B151" s="97"/>
      <c r="C151" s="96" t="s">
        <v>283</v>
      </c>
      <c r="D151" s="96"/>
      <c r="E151" s="97"/>
      <c r="F151" s="98" t="s">
        <v>973</v>
      </c>
      <c r="G151" s="96" t="s">
        <v>602</v>
      </c>
      <c r="H151" s="96" t="s">
        <v>1092</v>
      </c>
      <c r="I151" s="100" t="s">
        <v>806</v>
      </c>
      <c r="J151" s="100" t="s">
        <v>718</v>
      </c>
      <c r="K151" s="101">
        <v>17</v>
      </c>
      <c r="L151" s="101">
        <f>K151*245000</f>
        <v>4165000</v>
      </c>
      <c r="M151" s="99" t="str">
        <f>VLOOKUP(I151,SDDK!$C$6:$D$201,2,0)</f>
        <v>Chi phí trả trước ngắn hạn - SC TSCĐ</v>
      </c>
      <c r="N151" s="99" t="str">
        <f>VLOOKUP(J151,SDDK!$C$6:$D$201,2,0)</f>
        <v>Kéo cắt vải</v>
      </c>
    </row>
    <row r="152" spans="1:14" ht="12.75">
      <c r="A152" s="95" t="str">
        <f t="shared" si="2"/>
        <v>28/10/2020</v>
      </c>
      <c r="B152" s="97"/>
      <c r="C152" s="97"/>
      <c r="D152" s="96" t="s">
        <v>524</v>
      </c>
      <c r="E152" s="96" t="s">
        <v>684</v>
      </c>
      <c r="F152" s="98" t="s">
        <v>973</v>
      </c>
      <c r="G152" s="96"/>
      <c r="H152" s="96" t="s">
        <v>1093</v>
      </c>
      <c r="I152" s="100" t="s">
        <v>44</v>
      </c>
      <c r="J152" s="100" t="s">
        <v>806</v>
      </c>
      <c r="K152" s="101"/>
      <c r="L152" s="101">
        <f>L151/2</f>
        <v>2082500</v>
      </c>
      <c r="M152" s="99" t="str">
        <f>VLOOKUP(I152,SDDK!$C$6:$D$201,2,0)</f>
        <v>Chi phí dụng cụ sản xuất PX2</v>
      </c>
      <c r="N152" s="99" t="str">
        <f>VLOOKUP(J152,SDDK!$C$6:$D$201,2,0)</f>
        <v>Chi phí trả trước ngắn hạn - SC TSCĐ</v>
      </c>
    </row>
    <row r="153" spans="1:14" ht="12.75">
      <c r="A153" s="95" t="str">
        <f t="shared" si="2"/>
        <v>28/10/2020</v>
      </c>
      <c r="B153" s="97"/>
      <c r="C153" s="96" t="s">
        <v>284</v>
      </c>
      <c r="D153" s="96"/>
      <c r="E153" s="97"/>
      <c r="F153" s="98" t="s">
        <v>973</v>
      </c>
      <c r="G153" s="96" t="s">
        <v>602</v>
      </c>
      <c r="H153" s="96" t="s">
        <v>1094</v>
      </c>
      <c r="I153" s="100" t="s">
        <v>86</v>
      </c>
      <c r="J153" s="100" t="s">
        <v>718</v>
      </c>
      <c r="K153" s="101">
        <v>6</v>
      </c>
      <c r="L153" s="101">
        <f>K153*245000</f>
        <v>1470000</v>
      </c>
      <c r="M153" s="99" t="str">
        <f>VLOOKUP(I153,SDDK!$C$6:$D$201,2,0)</f>
        <v>Chi phí dụng cụ, đồ dùng quản lý doanh nghiệp</v>
      </c>
      <c r="N153" s="99" t="str">
        <f>VLOOKUP(J153,SDDK!$C$6:$D$201,2,0)</f>
        <v>Kéo cắt vải</v>
      </c>
    </row>
    <row r="154" spans="1:14" ht="12.75">
      <c r="A154" s="95" t="str">
        <f t="shared" si="2"/>
        <v>29/10/2020</v>
      </c>
      <c r="B154" s="97"/>
      <c r="C154" s="96" t="s">
        <v>285</v>
      </c>
      <c r="D154" s="96"/>
      <c r="E154" s="97"/>
      <c r="F154" s="98" t="s">
        <v>974</v>
      </c>
      <c r="G154" s="96" t="s">
        <v>602</v>
      </c>
      <c r="H154" s="96" t="s">
        <v>1095</v>
      </c>
      <c r="I154" s="100" t="s">
        <v>62</v>
      </c>
      <c r="J154" s="100" t="s">
        <v>384</v>
      </c>
      <c r="K154" s="101">
        <v>43</v>
      </c>
      <c r="L154" s="101">
        <f>K154*392500</f>
        <v>16877500</v>
      </c>
      <c r="M154" s="99" t="str">
        <f>VLOOKUP(I154,SDDK!$C$6:$D$201,2,0)</f>
        <v>Giá vốn hàng bán</v>
      </c>
      <c r="N154" s="99" t="str">
        <f>VLOOKUP(J154,SDDK!$C$6:$D$201,2,0)</f>
        <v>Vải thun coton</v>
      </c>
    </row>
    <row r="155" spans="1:14" ht="12.75">
      <c r="A155" s="95" t="str">
        <f t="shared" si="2"/>
        <v>29/10/2020</v>
      </c>
      <c r="B155" s="97"/>
      <c r="C155" s="96"/>
      <c r="D155" s="96" t="s">
        <v>525</v>
      </c>
      <c r="E155" s="97" t="s">
        <v>652</v>
      </c>
      <c r="F155" s="98" t="s">
        <v>974</v>
      </c>
      <c r="G155" s="96" t="s">
        <v>964</v>
      </c>
      <c r="H155" s="96" t="s">
        <v>1079</v>
      </c>
      <c r="I155" s="100" t="s">
        <v>353</v>
      </c>
      <c r="J155" s="100" t="s">
        <v>15</v>
      </c>
      <c r="K155" s="101">
        <v>43</v>
      </c>
      <c r="L155" s="101">
        <f>43*520000</f>
        <v>22360000</v>
      </c>
      <c r="M155" s="99" t="str">
        <f>VLOOKUP(I155,SDDK!$C$6:$D$201,2,0)</f>
        <v>Phải thu dài hạn Công ty CP Hoa Sen</v>
      </c>
      <c r="N155" s="99" t="str">
        <f>VLOOKUP(J155,SDDK!$C$6:$D$201,2,0)</f>
        <v>Doanh thu bán thành phẩm</v>
      </c>
    </row>
    <row r="156" spans="1:14" ht="12.75">
      <c r="A156" s="95" t="str">
        <f t="shared" si="2"/>
        <v>29/10/2020</v>
      </c>
      <c r="B156" s="97"/>
      <c r="C156" s="96"/>
      <c r="D156" s="96" t="s">
        <v>526</v>
      </c>
      <c r="E156" s="97" t="s">
        <v>652</v>
      </c>
      <c r="F156" s="98" t="s">
        <v>974</v>
      </c>
      <c r="G156" s="96" t="s">
        <v>964</v>
      </c>
      <c r="H156" s="96" t="s">
        <v>1016</v>
      </c>
      <c r="I156" s="100" t="s">
        <v>353</v>
      </c>
      <c r="J156" s="100" t="s">
        <v>161</v>
      </c>
      <c r="K156" s="101"/>
      <c r="L156" s="101">
        <f>L155*0.1</f>
        <v>2236000</v>
      </c>
      <c r="M156" s="99" t="str">
        <f>VLOOKUP(I156,SDDK!$C$6:$D$201,2,0)</f>
        <v>Phải thu dài hạn Công ty CP Hoa Sen</v>
      </c>
      <c r="N156" s="99" t="str">
        <f>VLOOKUP(J156,SDDK!$C$6:$D$201,2,0)</f>
        <v>Thuế GTGT đầu ra hoạt động kinh doanh</v>
      </c>
    </row>
    <row r="157" spans="1:14" ht="12.75">
      <c r="A157" s="95" t="str">
        <f t="shared" si="2"/>
        <v>29/10/2020</v>
      </c>
      <c r="B157" s="96"/>
      <c r="C157" s="97"/>
      <c r="D157" s="96" t="s">
        <v>527</v>
      </c>
      <c r="E157" s="96" t="s">
        <v>685</v>
      </c>
      <c r="F157" s="98" t="s">
        <v>974</v>
      </c>
      <c r="G157" s="96" t="s">
        <v>119</v>
      </c>
      <c r="H157" s="96" t="s">
        <v>1077</v>
      </c>
      <c r="I157" s="100" t="s">
        <v>326</v>
      </c>
      <c r="J157" s="100" t="s">
        <v>343</v>
      </c>
      <c r="K157" s="101"/>
      <c r="L157" s="101">
        <v>120000000</v>
      </c>
      <c r="M157" s="99" t="str">
        <f>VLOOKUP(I157,SDDK!$C$6:$D$201,2,0)</f>
        <v>Tiền gửi ngân hàng (VNĐ)</v>
      </c>
      <c r="N157" s="99" t="str">
        <f>VLOOKUP(J157,SDDK!$C$6:$D$201,2,0)</f>
        <v>Phải thu ngắn hạn Công ty GEMARTRANS </v>
      </c>
    </row>
    <row r="158" spans="1:14" ht="12.75">
      <c r="A158" s="95" t="str">
        <f t="shared" si="2"/>
        <v>29/10/2020</v>
      </c>
      <c r="B158" s="97"/>
      <c r="C158" s="97"/>
      <c r="D158" s="96" t="s">
        <v>528</v>
      </c>
      <c r="E158" s="96" t="s">
        <v>686</v>
      </c>
      <c r="F158" s="98" t="s">
        <v>974</v>
      </c>
      <c r="G158" s="96"/>
      <c r="H158" s="96" t="s">
        <v>1096</v>
      </c>
      <c r="I158" s="100" t="s">
        <v>393</v>
      </c>
      <c r="J158" s="100" t="s">
        <v>387</v>
      </c>
      <c r="K158" s="101"/>
      <c r="L158" s="101">
        <v>12500000</v>
      </c>
      <c r="M158" s="99" t="str">
        <f>VLOOKUP(I158,SDDK!$C$6:$D$201,2,0)</f>
        <v>Hao mòn TSCĐ hữu hình lũy kế (*)</v>
      </c>
      <c r="N158" s="99" t="str">
        <f>VLOOKUP(J158,SDDK!$C$6:$D$201,2,0)</f>
        <v>Nguyên giá tài sản cố định hữu hình</v>
      </c>
    </row>
    <row r="159" spans="1:14" ht="12.75">
      <c r="A159" s="95" t="str">
        <f t="shared" si="2"/>
        <v>29/10/2020</v>
      </c>
      <c r="B159" s="97"/>
      <c r="C159" s="97"/>
      <c r="D159" s="96" t="s">
        <v>528</v>
      </c>
      <c r="E159" s="96" t="s">
        <v>687</v>
      </c>
      <c r="F159" s="98" t="s">
        <v>974</v>
      </c>
      <c r="G159" s="96"/>
      <c r="H159" s="96" t="s">
        <v>1097</v>
      </c>
      <c r="I159" s="100" t="s">
        <v>101</v>
      </c>
      <c r="J159" s="100" t="s">
        <v>387</v>
      </c>
      <c r="K159" s="101"/>
      <c r="L159" s="101">
        <v>29500000</v>
      </c>
      <c r="M159" s="99" t="str">
        <f>VLOOKUP(I159,SDDK!$C$6:$D$201,2,0)</f>
        <v>Chi phí khác</v>
      </c>
      <c r="N159" s="99" t="str">
        <f>VLOOKUP(J159,SDDK!$C$6:$D$201,2,0)</f>
        <v>Nguyên giá tài sản cố định hữu hình</v>
      </c>
    </row>
    <row r="160" spans="1:14" ht="12.75">
      <c r="A160" s="95" t="str">
        <f t="shared" si="2"/>
        <v>29/10/2020</v>
      </c>
      <c r="B160" s="96" t="s">
        <v>286</v>
      </c>
      <c r="C160" s="97"/>
      <c r="D160" s="97"/>
      <c r="E160" s="97" t="s">
        <v>653</v>
      </c>
      <c r="F160" s="98" t="s">
        <v>974</v>
      </c>
      <c r="G160" s="96" t="s">
        <v>193</v>
      </c>
      <c r="H160" s="96" t="s">
        <v>1098</v>
      </c>
      <c r="I160" s="100" t="s">
        <v>323</v>
      </c>
      <c r="J160" s="100" t="s">
        <v>381</v>
      </c>
      <c r="K160" s="101"/>
      <c r="L160" s="101">
        <v>2000000</v>
      </c>
      <c r="M160" s="99" t="str">
        <f>VLOOKUP(I160,SDDK!$C$6:$D$201,2,0)</f>
        <v>Tiền mặt tại quỹ, ngân phiếu (VNĐ)</v>
      </c>
      <c r="N160" s="99" t="str">
        <f>VLOOKUP(J160,SDDK!$C$6:$D$201,2,0)</f>
        <v>Chi phí SXKD dở dang Vải thun coton (giá kế hoạch 4600)</v>
      </c>
    </row>
    <row r="161" spans="1:14" ht="12.75">
      <c r="A161" s="95" t="str">
        <f t="shared" si="2"/>
        <v>29/10/2020</v>
      </c>
      <c r="B161" s="97"/>
      <c r="C161" s="97"/>
      <c r="D161" s="96" t="s">
        <v>529</v>
      </c>
      <c r="E161" s="96" t="s">
        <v>654</v>
      </c>
      <c r="F161" s="98" t="s">
        <v>974</v>
      </c>
      <c r="G161" s="96"/>
      <c r="H161" s="96" t="s">
        <v>1099</v>
      </c>
      <c r="I161" s="100" t="s">
        <v>365</v>
      </c>
      <c r="J161" s="100" t="s">
        <v>99</v>
      </c>
      <c r="K161" s="103"/>
      <c r="L161" s="103">
        <v>1200000</v>
      </c>
      <c r="M161" s="99" t="str">
        <f>VLOOKUP(I161,SDDK!$C$6:$D$201,2,0)</f>
        <v>Các khoản phải thu khác (Thuế TNDN được giảm)</v>
      </c>
      <c r="N161" s="99" t="str">
        <f>VLOOKUP(J161,SDDK!$C$6:$D$201,2,0)</f>
        <v>Các khoản thu nhập khác - không phải nộp thuế thu nhập</v>
      </c>
    </row>
    <row r="162" spans="1:14" ht="12.75">
      <c r="A162" s="95" t="str">
        <f t="shared" si="2"/>
        <v>29/10/2020</v>
      </c>
      <c r="B162" s="97"/>
      <c r="C162" s="96"/>
      <c r="D162" s="96" t="s">
        <v>688</v>
      </c>
      <c r="E162" s="96" t="s">
        <v>689</v>
      </c>
      <c r="F162" s="98" t="s">
        <v>974</v>
      </c>
      <c r="G162" s="96" t="s">
        <v>193</v>
      </c>
      <c r="H162" s="96" t="s">
        <v>1100</v>
      </c>
      <c r="I162" s="102" t="s">
        <v>375</v>
      </c>
      <c r="J162" s="100" t="s">
        <v>373</v>
      </c>
      <c r="K162" s="101"/>
      <c r="L162" s="101">
        <v>1000000</v>
      </c>
      <c r="M162" s="99" t="str">
        <f>VLOOKUP(I162,SDDK!$C$6:$D$201,2,0)</f>
        <v>Sợi thun coton thô</v>
      </c>
      <c r="N162" s="99" t="str">
        <f>VLOOKUP(J162,SDDK!$C$6:$D$201,2,0)</f>
        <v>Nguyễn Minh Ngân</v>
      </c>
    </row>
    <row r="163" spans="1:14" ht="12.75">
      <c r="A163" s="95" t="str">
        <f t="shared" si="2"/>
        <v>29/10/2020</v>
      </c>
      <c r="B163" s="97"/>
      <c r="C163" s="96" t="s">
        <v>280</v>
      </c>
      <c r="D163" s="96"/>
      <c r="E163" s="97"/>
      <c r="F163" s="98" t="s">
        <v>974</v>
      </c>
      <c r="G163" s="96" t="s">
        <v>602</v>
      </c>
      <c r="H163" s="96" t="s">
        <v>1085</v>
      </c>
      <c r="I163" s="100" t="s">
        <v>27</v>
      </c>
      <c r="J163" s="102" t="s">
        <v>376</v>
      </c>
      <c r="K163" s="101">
        <v>10000</v>
      </c>
      <c r="L163" s="101">
        <f>K163*10651</f>
        <v>106510000</v>
      </c>
      <c r="M163" s="99" t="str">
        <f>VLOOKUP(I163,SDDK!$C$6:$D$201,2,0)</f>
        <v>Chi phí NVL trực tiếp cho Thảm lót chân</v>
      </c>
      <c r="N163" s="99" t="str">
        <f>VLOOKUP(J163,SDDK!$C$6:$D$201,2,0)</f>
        <v>Thuốc nhuộm màu xanh đen C02</v>
      </c>
    </row>
    <row r="164" spans="1:14" ht="12.75">
      <c r="A164" s="95" t="str">
        <f t="shared" si="2"/>
        <v>29/10/2020</v>
      </c>
      <c r="B164" s="97"/>
      <c r="C164" s="96" t="s">
        <v>280</v>
      </c>
      <c r="D164" s="96"/>
      <c r="E164" s="97"/>
      <c r="F164" s="98" t="s">
        <v>974</v>
      </c>
      <c r="G164" s="96" t="s">
        <v>602</v>
      </c>
      <c r="H164" s="96" t="s">
        <v>1084</v>
      </c>
      <c r="I164" s="100" t="s">
        <v>29</v>
      </c>
      <c r="J164" s="100" t="s">
        <v>376</v>
      </c>
      <c r="K164" s="101">
        <v>1275</v>
      </c>
      <c r="L164" s="101">
        <f>K164*10651</f>
        <v>13580025</v>
      </c>
      <c r="M164" s="99" t="str">
        <f>VLOOKUP(I164,SDDK!$C$6:$D$201,2,0)</f>
        <v>Chi phí NVL trực tiếp cho Dịch vụ sửa chữa</v>
      </c>
      <c r="N164" s="99" t="str">
        <f>VLOOKUP(J164,SDDK!$C$6:$D$201,2,0)</f>
        <v>Thuốc nhuộm màu xanh đen C02</v>
      </c>
    </row>
    <row r="165" spans="1:14" ht="12.75">
      <c r="A165" s="95" t="str">
        <f t="shared" si="2"/>
        <v>29/10/2020</v>
      </c>
      <c r="B165" s="97"/>
      <c r="C165" s="96" t="s">
        <v>280</v>
      </c>
      <c r="D165" s="96"/>
      <c r="E165" s="97"/>
      <c r="F165" s="98" t="s">
        <v>974</v>
      </c>
      <c r="G165" s="96" t="s">
        <v>602</v>
      </c>
      <c r="H165" s="96" t="s">
        <v>1085</v>
      </c>
      <c r="I165" s="100" t="s">
        <v>38</v>
      </c>
      <c r="J165" s="100" t="s">
        <v>376</v>
      </c>
      <c r="K165" s="101">
        <v>510</v>
      </c>
      <c r="L165" s="101">
        <f>K165*10651</f>
        <v>5432010</v>
      </c>
      <c r="M165" s="99" t="str">
        <f>VLOOKUP(I165,SDDK!$C$6:$D$201,2,0)</f>
        <v>Chi phí nguyên vật liệu  PX1</v>
      </c>
      <c r="N165" s="99" t="str">
        <f>VLOOKUP(J165,SDDK!$C$6:$D$201,2,0)</f>
        <v>Thuốc nhuộm màu xanh đen C02</v>
      </c>
    </row>
    <row r="166" spans="1:14" ht="12.75">
      <c r="A166" s="95" t="str">
        <f t="shared" si="2"/>
        <v>29/10/2020</v>
      </c>
      <c r="B166" s="97"/>
      <c r="C166" s="96" t="s">
        <v>280</v>
      </c>
      <c r="D166" s="96"/>
      <c r="E166" s="97"/>
      <c r="F166" s="98" t="s">
        <v>974</v>
      </c>
      <c r="G166" s="96" t="s">
        <v>602</v>
      </c>
      <c r="H166" s="96" t="s">
        <v>1086</v>
      </c>
      <c r="I166" s="100" t="s">
        <v>40</v>
      </c>
      <c r="J166" s="100" t="s">
        <v>376</v>
      </c>
      <c r="K166" s="101">
        <v>1275</v>
      </c>
      <c r="L166" s="101">
        <f>K166*10651</f>
        <v>13580025</v>
      </c>
      <c r="M166" s="99" t="str">
        <f>VLOOKUP(I166,SDDK!$C$6:$D$201,2,0)</f>
        <v>Chi phí nguyên vật liệu  PX2</v>
      </c>
      <c r="N166" s="99" t="str">
        <f>VLOOKUP(J166,SDDK!$C$6:$D$201,2,0)</f>
        <v>Thuốc nhuộm màu xanh đen C02</v>
      </c>
    </row>
    <row r="167" spans="1:14" ht="12.75">
      <c r="A167" s="95" t="str">
        <f t="shared" si="2"/>
        <v>29/10/2020</v>
      </c>
      <c r="B167" s="97"/>
      <c r="C167" s="96" t="s">
        <v>280</v>
      </c>
      <c r="D167" s="96"/>
      <c r="E167" s="97"/>
      <c r="F167" s="98" t="s">
        <v>974</v>
      </c>
      <c r="G167" s="96" t="s">
        <v>602</v>
      </c>
      <c r="H167" s="96" t="s">
        <v>1063</v>
      </c>
      <c r="I167" s="100" t="s">
        <v>70</v>
      </c>
      <c r="J167" s="100" t="s">
        <v>376</v>
      </c>
      <c r="K167" s="101">
        <v>340</v>
      </c>
      <c r="L167" s="101">
        <f>K167*10651</f>
        <v>3621340</v>
      </c>
      <c r="M167" s="99" t="str">
        <f>VLOOKUP(I167,SDDK!$C$6:$D$201,2,0)</f>
        <v>Chi phí vật liệu, bao bì hàng bán</v>
      </c>
      <c r="N167" s="99" t="str">
        <f>VLOOKUP(J167,SDDK!$C$6:$D$201,2,0)</f>
        <v>Thuốc nhuộm màu xanh đen C02</v>
      </c>
    </row>
    <row r="168" spans="1:14" ht="12.75">
      <c r="A168" s="95" t="str">
        <f t="shared" si="2"/>
        <v>29/10/2020</v>
      </c>
      <c r="B168" s="97"/>
      <c r="C168" s="96" t="s">
        <v>281</v>
      </c>
      <c r="D168" s="96"/>
      <c r="E168" s="97"/>
      <c r="F168" s="98" t="s">
        <v>974</v>
      </c>
      <c r="G168" s="96" t="s">
        <v>602</v>
      </c>
      <c r="H168" s="96" t="s">
        <v>1088</v>
      </c>
      <c r="I168" s="100" t="s">
        <v>38</v>
      </c>
      <c r="J168" s="102" t="s">
        <v>378</v>
      </c>
      <c r="K168" s="101">
        <v>248</v>
      </c>
      <c r="L168" s="101">
        <f>K168*16371</f>
        <v>4060008</v>
      </c>
      <c r="M168" s="99" t="str">
        <f>VLOOKUP(I168,SDDK!$C$6:$D$201,2,0)</f>
        <v>Chi phí nguyên vật liệu  PX1</v>
      </c>
      <c r="N168" s="99" t="str">
        <f>VLOOKUP(J168,SDDK!$C$6:$D$201,2,0)</f>
        <v>Nhiên liệu Dầu nhớt Deizel</v>
      </c>
    </row>
    <row r="169" spans="1:14" ht="12.75">
      <c r="A169" s="95" t="str">
        <f t="shared" si="2"/>
        <v>29/10/2020</v>
      </c>
      <c r="B169" s="97"/>
      <c r="C169" s="96" t="s">
        <v>281</v>
      </c>
      <c r="D169" s="96"/>
      <c r="E169" s="97"/>
      <c r="F169" s="98" t="s">
        <v>974</v>
      </c>
      <c r="G169" s="96" t="s">
        <v>602</v>
      </c>
      <c r="H169" s="96" t="s">
        <v>1089</v>
      </c>
      <c r="I169" s="100" t="s">
        <v>40</v>
      </c>
      <c r="J169" s="102" t="s">
        <v>378</v>
      </c>
      <c r="K169" s="101">
        <v>26</v>
      </c>
      <c r="L169" s="101">
        <f>K169*16371</f>
        <v>425646</v>
      </c>
      <c r="M169" s="99" t="str">
        <f>VLOOKUP(I169,SDDK!$C$6:$D$201,2,0)</f>
        <v>Chi phí nguyên vật liệu  PX2</v>
      </c>
      <c r="N169" s="99" t="str">
        <f>VLOOKUP(J169,SDDK!$C$6:$D$201,2,0)</f>
        <v>Nhiên liệu Dầu nhớt Deizel</v>
      </c>
    </row>
    <row r="170" spans="1:14" ht="12.75">
      <c r="A170" s="95" t="str">
        <f t="shared" si="2"/>
        <v>29/10/2020</v>
      </c>
      <c r="B170" s="97"/>
      <c r="C170" s="96" t="s">
        <v>281</v>
      </c>
      <c r="D170" s="96"/>
      <c r="E170" s="97"/>
      <c r="F170" s="98" t="s">
        <v>974</v>
      </c>
      <c r="G170" s="96" t="s">
        <v>602</v>
      </c>
      <c r="H170" s="96" t="s">
        <v>1101</v>
      </c>
      <c r="I170" s="100" t="s">
        <v>84</v>
      </c>
      <c r="J170" s="102" t="s">
        <v>378</v>
      </c>
      <c r="K170" s="101">
        <v>33</v>
      </c>
      <c r="L170" s="101">
        <f>K170*16371</f>
        <v>540243</v>
      </c>
      <c r="M170" s="99" t="str">
        <f>VLOOKUP(I170,SDDK!$C$6:$D$201,2,0)</f>
        <v>Chi phí vật liệu quản lý doanh nghiệp</v>
      </c>
      <c r="N170" s="99" t="str">
        <f>VLOOKUP(J170,SDDK!$C$6:$D$201,2,0)</f>
        <v>Nhiên liệu Dầu nhớt Deizel</v>
      </c>
    </row>
    <row r="171" spans="1:14" ht="12.75">
      <c r="A171" s="95" t="str">
        <f t="shared" si="2"/>
        <v>29/10/2020</v>
      </c>
      <c r="B171" s="96"/>
      <c r="C171" s="97"/>
      <c r="D171" s="96" t="s">
        <v>530</v>
      </c>
      <c r="E171" s="97" t="s">
        <v>655</v>
      </c>
      <c r="F171" s="98" t="s">
        <v>974</v>
      </c>
      <c r="G171" s="96" t="s">
        <v>193</v>
      </c>
      <c r="H171" s="96" t="s">
        <v>1102</v>
      </c>
      <c r="I171" s="100" t="s">
        <v>807</v>
      </c>
      <c r="J171" s="100" t="s">
        <v>326</v>
      </c>
      <c r="K171" s="101"/>
      <c r="L171" s="101">
        <v>5000000</v>
      </c>
      <c r="M171" s="99" t="str">
        <f>VLOOKUP(I171,SDDK!$C$6:$D$201,2,0)</f>
        <v>Chi phí trả trước ngắn hạn - VPP</v>
      </c>
      <c r="N171" s="99" t="str">
        <f>VLOOKUP(J171,SDDK!$C$6:$D$201,2,0)</f>
        <v>Tiền gửi ngân hàng (VNĐ)</v>
      </c>
    </row>
    <row r="172" spans="1:14" ht="12.75">
      <c r="A172" s="95" t="str">
        <f t="shared" si="2"/>
        <v>29/10/2020</v>
      </c>
      <c r="B172" s="97"/>
      <c r="C172" s="97"/>
      <c r="D172" s="96" t="s">
        <v>531</v>
      </c>
      <c r="E172" s="97" t="s">
        <v>656</v>
      </c>
      <c r="F172" s="98" t="s">
        <v>974</v>
      </c>
      <c r="G172" s="96"/>
      <c r="H172" s="96" t="s">
        <v>1103</v>
      </c>
      <c r="I172" s="100" t="s">
        <v>86</v>
      </c>
      <c r="J172" s="100" t="s">
        <v>807</v>
      </c>
      <c r="K172" s="101"/>
      <c r="L172" s="101">
        <f>L171/2</f>
        <v>2500000</v>
      </c>
      <c r="M172" s="99" t="str">
        <f>VLOOKUP(I172,SDDK!$C$6:$D$201,2,0)</f>
        <v>Chi phí dụng cụ, đồ dùng quản lý doanh nghiệp</v>
      </c>
      <c r="N172" s="99" t="str">
        <f>VLOOKUP(J172,SDDK!$C$6:$D$201,2,0)</f>
        <v>Chi phí trả trước ngắn hạn - VPP</v>
      </c>
    </row>
    <row r="173" spans="1:14" ht="12.75">
      <c r="A173" s="95" t="str">
        <f t="shared" si="2"/>
        <v>29/10/2020</v>
      </c>
      <c r="B173" s="96"/>
      <c r="C173" s="97"/>
      <c r="D173" s="96" t="s">
        <v>532</v>
      </c>
      <c r="E173" s="97" t="s">
        <v>657</v>
      </c>
      <c r="F173" s="98" t="s">
        <v>974</v>
      </c>
      <c r="G173" s="96" t="s">
        <v>756</v>
      </c>
      <c r="H173" s="96" t="s">
        <v>1104</v>
      </c>
      <c r="I173" s="100" t="s">
        <v>415</v>
      </c>
      <c r="J173" s="100" t="s">
        <v>326</v>
      </c>
      <c r="K173" s="101"/>
      <c r="L173" s="101">
        <v>52000000</v>
      </c>
      <c r="M173" s="99" t="str">
        <f>VLOOKUP(I173,SDDK!$C$6:$D$201,2,0)</f>
        <v>Phải trả ngắn hạn Công ty Kinh Doanh Thép Việt</v>
      </c>
      <c r="N173" s="99" t="str">
        <f>VLOOKUP(J173,SDDK!$C$6:$D$201,2,0)</f>
        <v>Tiền gửi ngân hàng (VNĐ)</v>
      </c>
    </row>
    <row r="174" spans="1:14" ht="12.75">
      <c r="A174" s="95" t="str">
        <f t="shared" si="2"/>
        <v>29/10/2020</v>
      </c>
      <c r="B174" s="96"/>
      <c r="C174" s="97"/>
      <c r="D174" s="96" t="s">
        <v>533</v>
      </c>
      <c r="E174" s="97" t="s">
        <v>658</v>
      </c>
      <c r="F174" s="98" t="s">
        <v>974</v>
      </c>
      <c r="G174" s="96" t="s">
        <v>753</v>
      </c>
      <c r="H174" s="96" t="s">
        <v>1105</v>
      </c>
      <c r="I174" s="100" t="s">
        <v>419</v>
      </c>
      <c r="J174" s="100" t="s">
        <v>326</v>
      </c>
      <c r="K174" s="101"/>
      <c r="L174" s="101">
        <v>90000000</v>
      </c>
      <c r="M174" s="99" t="str">
        <f>VLOOKUP(I174,SDDK!$C$6:$D$201,2,0)</f>
        <v>Phải trả ngắn hạn Công ty TNHH Vĩnh viễn</v>
      </c>
      <c r="N174" s="99" t="str">
        <f>VLOOKUP(J174,SDDK!$C$6:$D$201,2,0)</f>
        <v>Tiền gửi ngân hàng (VNĐ)</v>
      </c>
    </row>
    <row r="175" spans="1:14" ht="12.75">
      <c r="A175" s="95" t="str">
        <f t="shared" si="2"/>
        <v>29/10/2020</v>
      </c>
      <c r="B175" s="97"/>
      <c r="C175" s="96" t="s">
        <v>288</v>
      </c>
      <c r="D175" s="96"/>
      <c r="E175" s="97"/>
      <c r="F175" s="98" t="s">
        <v>974</v>
      </c>
      <c r="G175" s="96" t="s">
        <v>602</v>
      </c>
      <c r="H175" s="96" t="s">
        <v>1106</v>
      </c>
      <c r="I175" s="100" t="s">
        <v>384</v>
      </c>
      <c r="J175" s="100" t="s">
        <v>381</v>
      </c>
      <c r="K175" s="101">
        <v>500</v>
      </c>
      <c r="L175" s="101">
        <f>500*390500</f>
        <v>195250000</v>
      </c>
      <c r="M175" s="99" t="str">
        <f>VLOOKUP(I175,SDDK!$C$6:$D$201,2,0)</f>
        <v>Vải thun coton</v>
      </c>
      <c r="N175" s="99" t="str">
        <f>VLOOKUP(J175,SDDK!$C$6:$D$201,2,0)</f>
        <v>Chi phí SXKD dở dang Vải thun coton (giá kế hoạch 4600)</v>
      </c>
    </row>
    <row r="176" spans="1:14" ht="12.75">
      <c r="A176" s="95" t="str">
        <f t="shared" si="2"/>
        <v>29/10/2020</v>
      </c>
      <c r="B176" s="97"/>
      <c r="C176" s="96" t="s">
        <v>289</v>
      </c>
      <c r="D176" s="96"/>
      <c r="E176" s="97"/>
      <c r="F176" s="98" t="s">
        <v>974</v>
      </c>
      <c r="G176" s="96" t="s">
        <v>602</v>
      </c>
      <c r="H176" s="96" t="s">
        <v>1107</v>
      </c>
      <c r="I176" s="100" t="s">
        <v>62</v>
      </c>
      <c r="J176" s="100" t="s">
        <v>384</v>
      </c>
      <c r="K176" s="101">
        <v>166</v>
      </c>
      <c r="L176" s="101">
        <f>K176*392500</f>
        <v>65155000</v>
      </c>
      <c r="M176" s="99" t="str">
        <f>VLOOKUP(I176,SDDK!$C$6:$D$201,2,0)</f>
        <v>Giá vốn hàng bán</v>
      </c>
      <c r="N176" s="99" t="str">
        <f>VLOOKUP(J176,SDDK!$C$6:$D$201,2,0)</f>
        <v>Vải thun coton</v>
      </c>
    </row>
    <row r="177" spans="1:14" ht="12.75">
      <c r="A177" s="95" t="str">
        <f t="shared" si="2"/>
        <v>29/10/2020</v>
      </c>
      <c r="B177" s="97"/>
      <c r="C177" s="96"/>
      <c r="D177" s="96" t="s">
        <v>534</v>
      </c>
      <c r="E177" s="97" t="s">
        <v>659</v>
      </c>
      <c r="F177" s="98" t="s">
        <v>974</v>
      </c>
      <c r="G177" s="96" t="s">
        <v>964</v>
      </c>
      <c r="H177" s="96" t="s">
        <v>1108</v>
      </c>
      <c r="I177" s="100" t="s">
        <v>353</v>
      </c>
      <c r="J177" s="100" t="s">
        <v>15</v>
      </c>
      <c r="K177" s="101">
        <v>166</v>
      </c>
      <c r="L177" s="101">
        <f>166*510000</f>
        <v>84660000</v>
      </c>
      <c r="M177" s="99" t="str">
        <f>VLOOKUP(I177,SDDK!$C$6:$D$201,2,0)</f>
        <v>Phải thu dài hạn Công ty CP Hoa Sen</v>
      </c>
      <c r="N177" s="99" t="str">
        <f>VLOOKUP(J177,SDDK!$C$6:$D$201,2,0)</f>
        <v>Doanh thu bán thành phẩm</v>
      </c>
    </row>
    <row r="178" spans="1:14" ht="12.75">
      <c r="A178" s="95" t="str">
        <f t="shared" si="2"/>
        <v>29/10/2020</v>
      </c>
      <c r="B178" s="97"/>
      <c r="C178" s="96"/>
      <c r="D178" s="96" t="s">
        <v>535</v>
      </c>
      <c r="E178" s="97" t="s">
        <v>659</v>
      </c>
      <c r="F178" s="98" t="s">
        <v>974</v>
      </c>
      <c r="G178" s="96" t="s">
        <v>964</v>
      </c>
      <c r="H178" s="96" t="s">
        <v>1016</v>
      </c>
      <c r="I178" s="100" t="s">
        <v>353</v>
      </c>
      <c r="J178" s="100" t="s">
        <v>161</v>
      </c>
      <c r="K178" s="101"/>
      <c r="L178" s="101">
        <f>L177*0.1</f>
        <v>8466000</v>
      </c>
      <c r="M178" s="99" t="str">
        <f>VLOOKUP(I178,SDDK!$C$6:$D$201,2,0)</f>
        <v>Phải thu dài hạn Công ty CP Hoa Sen</v>
      </c>
      <c r="N178" s="99" t="str">
        <f>VLOOKUP(J178,SDDK!$C$6:$D$201,2,0)</f>
        <v>Thuế GTGT đầu ra hoạt động kinh doanh</v>
      </c>
    </row>
    <row r="179" spans="1:14" ht="12.75">
      <c r="A179" s="95" t="str">
        <f t="shared" si="2"/>
        <v>29/10/2020</v>
      </c>
      <c r="B179" s="97"/>
      <c r="C179" s="97"/>
      <c r="D179" s="96" t="s">
        <v>536</v>
      </c>
      <c r="E179" s="97" t="s">
        <v>660</v>
      </c>
      <c r="F179" s="98" t="s">
        <v>974</v>
      </c>
      <c r="G179" s="1" t="s">
        <v>772</v>
      </c>
      <c r="H179" s="96" t="s">
        <v>1109</v>
      </c>
      <c r="I179" s="100" t="s">
        <v>728</v>
      </c>
      <c r="J179" s="100" t="s">
        <v>421</v>
      </c>
      <c r="K179" s="101"/>
      <c r="L179" s="101">
        <v>30000000</v>
      </c>
      <c r="M179" s="99" t="str">
        <f>VLOOKUP(I179,SDDK!$C$6:$D$201,2,0)</f>
        <v>Xây dựng cơ bản dở dang</v>
      </c>
      <c r="N179" s="99" t="str">
        <f>VLOOKUP(J179,SDDK!$C$6:$D$201,2,0)</f>
        <v>Phải trả ngắn hạn Công ty TNHH Yến Phi</v>
      </c>
    </row>
    <row r="180" spans="1:14" ht="12.75">
      <c r="A180" s="95" t="str">
        <f t="shared" si="2"/>
        <v>29/10/2020</v>
      </c>
      <c r="B180" s="97"/>
      <c r="C180" s="97"/>
      <c r="D180" s="96" t="s">
        <v>536</v>
      </c>
      <c r="E180" s="97" t="s">
        <v>660</v>
      </c>
      <c r="F180" s="98" t="s">
        <v>974</v>
      </c>
      <c r="G180" s="1" t="s">
        <v>772</v>
      </c>
      <c r="H180" s="96" t="s">
        <v>1110</v>
      </c>
      <c r="I180" s="100" t="s">
        <v>354</v>
      </c>
      <c r="J180" s="100" t="s">
        <v>421</v>
      </c>
      <c r="K180" s="101"/>
      <c r="L180" s="101">
        <v>3000000</v>
      </c>
      <c r="M180" s="99" t="str">
        <f>VLOOKUP(I180,SDDK!$C$6:$D$201,2,0)</f>
        <v>Thuế GTGT được khấu trừ của hàng hóa, dịch vụ</v>
      </c>
      <c r="N180" s="99" t="str">
        <f>VLOOKUP(J180,SDDK!$C$6:$D$201,2,0)</f>
        <v>Phải trả ngắn hạn Công ty TNHH Yến Phi</v>
      </c>
    </row>
    <row r="181" spans="1:14" ht="12.75">
      <c r="A181" s="95" t="str">
        <f t="shared" si="2"/>
        <v>29/10/2020</v>
      </c>
      <c r="B181" s="97"/>
      <c r="C181" s="97"/>
      <c r="D181" s="96" t="s">
        <v>537</v>
      </c>
      <c r="E181" s="97" t="s">
        <v>661</v>
      </c>
      <c r="F181" s="98" t="s">
        <v>974</v>
      </c>
      <c r="G181" s="96"/>
      <c r="H181" s="96" t="s">
        <v>1111</v>
      </c>
      <c r="I181" s="100" t="s">
        <v>96</v>
      </c>
      <c r="J181" s="100" t="s">
        <v>373</v>
      </c>
      <c r="K181" s="101"/>
      <c r="L181" s="101">
        <v>600000</v>
      </c>
      <c r="M181" s="99" t="str">
        <f>VLOOKUP(I181,SDDK!$C$6:$D$201,2,0)</f>
        <v>Chi phí bằng tiền khác quản lý doanh nghiệp</v>
      </c>
      <c r="N181" s="99" t="str">
        <f>VLOOKUP(J181,SDDK!$C$6:$D$201,2,0)</f>
        <v>Nguyễn Minh Ngân</v>
      </c>
    </row>
    <row r="182" spans="1:14" ht="12.75">
      <c r="A182" s="95" t="str">
        <f t="shared" si="2"/>
        <v>29/10/2020</v>
      </c>
      <c r="B182" s="97"/>
      <c r="C182" s="96" t="s">
        <v>287</v>
      </c>
      <c r="D182" s="96" t="s">
        <v>537</v>
      </c>
      <c r="E182" s="97" t="s">
        <v>662</v>
      </c>
      <c r="F182" s="98" t="s">
        <v>974</v>
      </c>
      <c r="G182" s="96" t="s">
        <v>193</v>
      </c>
      <c r="H182" s="96" t="s">
        <v>1112</v>
      </c>
      <c r="I182" s="102" t="s">
        <v>379</v>
      </c>
      <c r="J182" s="100" t="s">
        <v>373</v>
      </c>
      <c r="K182" s="101">
        <v>67</v>
      </c>
      <c r="L182" s="101">
        <f>67*2240</f>
        <v>150080</v>
      </c>
      <c r="M182" s="99" t="str">
        <f>VLOOKUP(I182,SDDK!$C$6:$D$201,2,0)</f>
        <v>Ốc vít, bù loong.</v>
      </c>
      <c r="N182" s="99" t="str">
        <f>VLOOKUP(J182,SDDK!$C$6:$D$201,2,0)</f>
        <v>Nguyễn Minh Ngân</v>
      </c>
    </row>
    <row r="183" spans="1:14" ht="12.75">
      <c r="A183" s="95" t="str">
        <f t="shared" si="2"/>
        <v>29/10/2020</v>
      </c>
      <c r="B183" s="97"/>
      <c r="C183" s="96" t="s">
        <v>282</v>
      </c>
      <c r="D183" s="96"/>
      <c r="E183" s="97"/>
      <c r="F183" s="98" t="s">
        <v>974</v>
      </c>
      <c r="G183" s="96" t="s">
        <v>602</v>
      </c>
      <c r="H183" s="96" t="s">
        <v>1091</v>
      </c>
      <c r="I183" s="100" t="s">
        <v>38</v>
      </c>
      <c r="J183" s="102" t="s">
        <v>379</v>
      </c>
      <c r="K183" s="101">
        <v>340</v>
      </c>
      <c r="L183" s="101">
        <f>K183*2140</f>
        <v>727600</v>
      </c>
      <c r="M183" s="99" t="str">
        <f>VLOOKUP(I183,SDDK!$C$6:$D$201,2,0)</f>
        <v>Chi phí nguyên vật liệu  PX1</v>
      </c>
      <c r="N183" s="99" t="str">
        <f>VLOOKUP(J183,SDDK!$C$6:$D$201,2,0)</f>
        <v>Ốc vít, bù loong.</v>
      </c>
    </row>
    <row r="184" spans="1:14" ht="12.75">
      <c r="A184" s="95" t="str">
        <f t="shared" si="2"/>
        <v>29/10/2020</v>
      </c>
      <c r="B184" s="97"/>
      <c r="C184" s="96" t="s">
        <v>282</v>
      </c>
      <c r="D184" s="96"/>
      <c r="E184" s="97"/>
      <c r="F184" s="98" t="s">
        <v>974</v>
      </c>
      <c r="G184" s="96" t="s">
        <v>602</v>
      </c>
      <c r="H184" s="96" t="s">
        <v>1091</v>
      </c>
      <c r="I184" s="100" t="s">
        <v>40</v>
      </c>
      <c r="J184" s="102" t="s">
        <v>379</v>
      </c>
      <c r="K184" s="101">
        <v>68</v>
      </c>
      <c r="L184" s="101">
        <f>K184*2140</f>
        <v>145520</v>
      </c>
      <c r="M184" s="99" t="str">
        <f>VLOOKUP(I184,SDDK!$C$6:$D$201,2,0)</f>
        <v>Chi phí nguyên vật liệu  PX2</v>
      </c>
      <c r="N184" s="99" t="str">
        <f>VLOOKUP(J184,SDDK!$C$6:$D$201,2,0)</f>
        <v>Ốc vít, bù loong.</v>
      </c>
    </row>
    <row r="185" spans="1:14" ht="12.75">
      <c r="A185" s="95" t="str">
        <f t="shared" si="2"/>
        <v>29/10/2020</v>
      </c>
      <c r="B185" s="97"/>
      <c r="C185" s="96" t="s">
        <v>282</v>
      </c>
      <c r="D185" s="96"/>
      <c r="E185" s="97"/>
      <c r="F185" s="98" t="s">
        <v>974</v>
      </c>
      <c r="G185" s="96" t="s">
        <v>602</v>
      </c>
      <c r="H185" s="96" t="s">
        <v>1091</v>
      </c>
      <c r="I185" s="100" t="s">
        <v>84</v>
      </c>
      <c r="J185" s="102" t="s">
        <v>379</v>
      </c>
      <c r="K185" s="101">
        <v>34</v>
      </c>
      <c r="L185" s="101">
        <f>K185*2140</f>
        <v>72760</v>
      </c>
      <c r="M185" s="99" t="str">
        <f>VLOOKUP(I185,SDDK!$C$6:$D$201,2,0)</f>
        <v>Chi phí vật liệu quản lý doanh nghiệp</v>
      </c>
      <c r="N185" s="99" t="str">
        <f>VLOOKUP(J185,SDDK!$C$6:$D$201,2,0)</f>
        <v>Ốc vít, bù loong.</v>
      </c>
    </row>
    <row r="186" spans="1:14" ht="12.75">
      <c r="A186" s="95" t="str">
        <f t="shared" si="2"/>
        <v>29/10/2020</v>
      </c>
      <c r="B186" s="96"/>
      <c r="C186" s="97"/>
      <c r="D186" s="96" t="s">
        <v>537</v>
      </c>
      <c r="E186" s="97" t="s">
        <v>663</v>
      </c>
      <c r="F186" s="98" t="s">
        <v>974</v>
      </c>
      <c r="G186" s="96" t="s">
        <v>193</v>
      </c>
      <c r="H186" s="96" t="s">
        <v>1113</v>
      </c>
      <c r="I186" s="100" t="s">
        <v>161</v>
      </c>
      <c r="J186" s="100" t="s">
        <v>326</v>
      </c>
      <c r="K186" s="101"/>
      <c r="L186" s="101">
        <v>250000</v>
      </c>
      <c r="M186" s="99" t="str">
        <f>VLOOKUP(I186,SDDK!$C$6:$D$201,2,0)</f>
        <v>Thuế GTGT đầu ra hoạt động kinh doanh</v>
      </c>
      <c r="N186" s="99" t="str">
        <f>VLOOKUP(J186,SDDK!$C$6:$D$201,2,0)</f>
        <v>Tiền gửi ngân hàng (VNĐ)</v>
      </c>
    </row>
    <row r="187" spans="1:14" ht="12.75">
      <c r="A187" s="95" t="str">
        <f t="shared" si="2"/>
        <v>29/10/2020</v>
      </c>
      <c r="B187" s="96"/>
      <c r="C187" s="97"/>
      <c r="D187" s="96" t="s">
        <v>538</v>
      </c>
      <c r="E187" s="97" t="s">
        <v>663</v>
      </c>
      <c r="F187" s="98" t="s">
        <v>974</v>
      </c>
      <c r="G187" s="96" t="s">
        <v>193</v>
      </c>
      <c r="H187" s="96" t="s">
        <v>1114</v>
      </c>
      <c r="I187" s="100" t="s">
        <v>436</v>
      </c>
      <c r="J187" s="100" t="s">
        <v>326</v>
      </c>
      <c r="K187" s="101"/>
      <c r="L187" s="101">
        <v>1200000</v>
      </c>
      <c r="M187" s="99" t="str">
        <f>VLOOKUP(I187,SDDK!$C$6:$D$201,2,0)</f>
        <v>Thuế thu nhập DN</v>
      </c>
      <c r="N187" s="99" t="str">
        <f>VLOOKUP(J187,SDDK!$C$6:$D$201,2,0)</f>
        <v>Tiền gửi ngân hàng (VNĐ)</v>
      </c>
    </row>
    <row r="188" spans="1:14" ht="12.75">
      <c r="A188" s="95" t="str">
        <f t="shared" si="2"/>
        <v>29/10/2020</v>
      </c>
      <c r="B188" s="97"/>
      <c r="C188" s="97"/>
      <c r="D188" s="96" t="s">
        <v>539</v>
      </c>
      <c r="E188" s="97" t="s">
        <v>664</v>
      </c>
      <c r="F188" s="98" t="s">
        <v>974</v>
      </c>
      <c r="G188" s="96"/>
      <c r="H188" s="96" t="s">
        <v>1115</v>
      </c>
      <c r="I188" s="100" t="s">
        <v>96</v>
      </c>
      <c r="J188" s="100" t="s">
        <v>373</v>
      </c>
      <c r="K188" s="101"/>
      <c r="L188" s="101">
        <v>300000</v>
      </c>
      <c r="M188" s="99" t="str">
        <f>VLOOKUP(I188,SDDK!$C$6:$D$201,2,0)</f>
        <v>Chi phí bằng tiền khác quản lý doanh nghiệp</v>
      </c>
      <c r="N188" s="99" t="str">
        <f>VLOOKUP(J188,SDDK!$C$6:$D$201,2,0)</f>
        <v>Nguyễn Minh Ngân</v>
      </c>
    </row>
    <row r="189" spans="1:14" ht="12.75">
      <c r="A189" s="95" t="str">
        <f t="shared" si="2"/>
        <v>30/10/2020</v>
      </c>
      <c r="B189" s="97"/>
      <c r="C189" s="96" t="s">
        <v>291</v>
      </c>
      <c r="D189" s="96"/>
      <c r="E189" s="97"/>
      <c r="F189" s="98" t="s">
        <v>975</v>
      </c>
      <c r="G189" s="96" t="s">
        <v>602</v>
      </c>
      <c r="H189" s="96" t="s">
        <v>1116</v>
      </c>
      <c r="I189" s="100" t="s">
        <v>62</v>
      </c>
      <c r="J189" s="100" t="s">
        <v>384</v>
      </c>
      <c r="K189" s="101">
        <v>135</v>
      </c>
      <c r="L189" s="101">
        <f>K189*392500</f>
        <v>52987500</v>
      </c>
      <c r="M189" s="99" t="str">
        <f>VLOOKUP(I189,SDDK!$C$6:$D$201,2,0)</f>
        <v>Giá vốn hàng bán</v>
      </c>
      <c r="N189" s="99" t="str">
        <f>VLOOKUP(J189,SDDK!$C$6:$D$201,2,0)</f>
        <v>Vải thun coton</v>
      </c>
    </row>
    <row r="190" spans="1:14" ht="12.75">
      <c r="A190" s="95" t="str">
        <f t="shared" si="2"/>
        <v>30/10/2020</v>
      </c>
      <c r="B190" s="97"/>
      <c r="C190" s="96"/>
      <c r="D190" s="96" t="s">
        <v>540</v>
      </c>
      <c r="E190" s="97" t="s">
        <v>665</v>
      </c>
      <c r="F190" s="98" t="s">
        <v>975</v>
      </c>
      <c r="G190" s="1" t="s">
        <v>970</v>
      </c>
      <c r="H190" s="96" t="s">
        <v>1117</v>
      </c>
      <c r="I190" s="100" t="s">
        <v>348</v>
      </c>
      <c r="J190" s="100" t="s">
        <v>15</v>
      </c>
      <c r="K190" s="101">
        <v>135</v>
      </c>
      <c r="L190" s="101">
        <f>135*510000</f>
        <v>68850000</v>
      </c>
      <c r="M190" s="99" t="str">
        <f>VLOOKUP(I190,SDDK!$C$6:$D$201,2,0)</f>
        <v>Phải thu dài hạn Công ty TNHH Minh Long</v>
      </c>
      <c r="N190" s="99" t="str">
        <f>VLOOKUP(J190,SDDK!$C$6:$D$201,2,0)</f>
        <v>Doanh thu bán thành phẩm</v>
      </c>
    </row>
    <row r="191" spans="1:14" ht="12.75">
      <c r="A191" s="95" t="str">
        <f t="shared" si="2"/>
        <v>30/10/2020</v>
      </c>
      <c r="B191" s="97"/>
      <c r="C191" s="96"/>
      <c r="D191" s="96" t="s">
        <v>540</v>
      </c>
      <c r="E191" s="97" t="s">
        <v>665</v>
      </c>
      <c r="F191" s="98" t="s">
        <v>975</v>
      </c>
      <c r="G191" s="1" t="s">
        <v>970</v>
      </c>
      <c r="H191" s="96" t="s">
        <v>1016</v>
      </c>
      <c r="I191" s="100" t="s">
        <v>348</v>
      </c>
      <c r="J191" s="100" t="s">
        <v>161</v>
      </c>
      <c r="K191" s="101"/>
      <c r="L191" s="101">
        <f>L190*0.1</f>
        <v>6885000</v>
      </c>
      <c r="M191" s="99" t="str">
        <f>VLOOKUP(I191,SDDK!$C$6:$D$201,2,0)</f>
        <v>Phải thu dài hạn Công ty TNHH Minh Long</v>
      </c>
      <c r="N191" s="99" t="str">
        <f>VLOOKUP(J191,SDDK!$C$6:$D$201,2,0)</f>
        <v>Thuế GTGT đầu ra hoạt động kinh doanh</v>
      </c>
    </row>
    <row r="192" spans="1:14" ht="12.75">
      <c r="A192" s="95" t="str">
        <f t="shared" si="2"/>
        <v>30/10/2020</v>
      </c>
      <c r="B192" s="97"/>
      <c r="C192" s="97"/>
      <c r="D192" s="96" t="s">
        <v>541</v>
      </c>
      <c r="E192" s="96" t="s">
        <v>689</v>
      </c>
      <c r="F192" s="98" t="s">
        <v>975</v>
      </c>
      <c r="G192" s="96" t="s">
        <v>193</v>
      </c>
      <c r="H192" s="96" t="s">
        <v>1111</v>
      </c>
      <c r="I192" s="100" t="s">
        <v>96</v>
      </c>
      <c r="J192" s="100" t="s">
        <v>373</v>
      </c>
      <c r="K192" s="101"/>
      <c r="L192" s="101">
        <v>450000</v>
      </c>
      <c r="M192" s="99" t="str">
        <f>VLOOKUP(I192,SDDK!$C$6:$D$201,2,0)</f>
        <v>Chi phí bằng tiền khác quản lý doanh nghiệp</v>
      </c>
      <c r="N192" s="99" t="str">
        <f>VLOOKUP(J192,SDDK!$C$6:$D$201,2,0)</f>
        <v>Nguyễn Minh Ngân</v>
      </c>
    </row>
    <row r="193" spans="1:14" ht="12.75">
      <c r="A193" s="95" t="str">
        <f t="shared" si="2"/>
        <v>30/10/2020</v>
      </c>
      <c r="B193" s="97"/>
      <c r="C193" s="96" t="s">
        <v>292</v>
      </c>
      <c r="D193" s="96"/>
      <c r="E193" s="97"/>
      <c r="F193" s="98" t="s">
        <v>975</v>
      </c>
      <c r="G193" s="96" t="s">
        <v>602</v>
      </c>
      <c r="H193" s="96" t="s">
        <v>1118</v>
      </c>
      <c r="I193" s="100" t="s">
        <v>62</v>
      </c>
      <c r="J193" s="100" t="s">
        <v>384</v>
      </c>
      <c r="K193" s="101">
        <v>130</v>
      </c>
      <c r="L193" s="101">
        <f>K193*392500</f>
        <v>51025000</v>
      </c>
      <c r="M193" s="99" t="str">
        <f>VLOOKUP(I193,SDDK!$C$6:$D$201,2,0)</f>
        <v>Giá vốn hàng bán</v>
      </c>
      <c r="N193" s="99" t="str">
        <f>VLOOKUP(J193,SDDK!$C$6:$D$201,2,0)</f>
        <v>Vải thun coton</v>
      </c>
    </row>
    <row r="194" spans="1:14" ht="12.75">
      <c r="A194" s="95" t="str">
        <f t="shared" si="2"/>
        <v>30/10/2020</v>
      </c>
      <c r="B194" s="97"/>
      <c r="C194" s="96"/>
      <c r="D194" s="96" t="s">
        <v>542</v>
      </c>
      <c r="E194" s="97" t="s">
        <v>666</v>
      </c>
      <c r="F194" s="98" t="s">
        <v>975</v>
      </c>
      <c r="G194" s="96" t="s">
        <v>964</v>
      </c>
      <c r="H194" s="96" t="s">
        <v>1119</v>
      </c>
      <c r="I194" s="100" t="s">
        <v>353</v>
      </c>
      <c r="J194" s="100" t="s">
        <v>15</v>
      </c>
      <c r="K194" s="101">
        <v>130</v>
      </c>
      <c r="L194" s="101">
        <f>130*510000</f>
        <v>66300000</v>
      </c>
      <c r="M194" s="99" t="str">
        <f>VLOOKUP(I194,SDDK!$C$6:$D$201,2,0)</f>
        <v>Phải thu dài hạn Công ty CP Hoa Sen</v>
      </c>
      <c r="N194" s="99" t="str">
        <f>VLOOKUP(J194,SDDK!$C$6:$D$201,2,0)</f>
        <v>Doanh thu bán thành phẩm</v>
      </c>
    </row>
    <row r="195" spans="1:14" ht="12.75">
      <c r="A195" s="95" t="str">
        <f t="shared" si="2"/>
        <v>30/10/2020</v>
      </c>
      <c r="B195" s="97"/>
      <c r="C195" s="96"/>
      <c r="D195" s="96" t="s">
        <v>542</v>
      </c>
      <c r="E195" s="97" t="s">
        <v>666</v>
      </c>
      <c r="F195" s="98" t="s">
        <v>975</v>
      </c>
      <c r="G195" s="96" t="s">
        <v>964</v>
      </c>
      <c r="H195" s="96" t="s">
        <v>1016</v>
      </c>
      <c r="I195" s="100" t="s">
        <v>353</v>
      </c>
      <c r="J195" s="100" t="s">
        <v>161</v>
      </c>
      <c r="K195" s="101"/>
      <c r="L195" s="101">
        <f>L194*0.1</f>
        <v>6630000</v>
      </c>
      <c r="M195" s="99" t="str">
        <f>VLOOKUP(I195,SDDK!$C$6:$D$201,2,0)</f>
        <v>Phải thu dài hạn Công ty CP Hoa Sen</v>
      </c>
      <c r="N195" s="99" t="str">
        <f>VLOOKUP(J195,SDDK!$C$6:$D$201,2,0)</f>
        <v>Thuế GTGT đầu ra hoạt động kinh doanh</v>
      </c>
    </row>
    <row r="196" spans="1:14" ht="12.75">
      <c r="A196" s="95" t="str">
        <f t="shared" si="2"/>
        <v>30/10/2020</v>
      </c>
      <c r="B196" s="97"/>
      <c r="C196" s="97"/>
      <c r="D196" s="96" t="s">
        <v>543</v>
      </c>
      <c r="E196" s="97" t="s">
        <v>667</v>
      </c>
      <c r="F196" s="98" t="s">
        <v>975</v>
      </c>
      <c r="G196" s="96"/>
      <c r="H196" s="96" t="s">
        <v>1120</v>
      </c>
      <c r="I196" s="100" t="s">
        <v>6</v>
      </c>
      <c r="J196" s="100" t="s">
        <v>457</v>
      </c>
      <c r="K196" s="101"/>
      <c r="L196" s="101">
        <v>35000000</v>
      </c>
      <c r="M196" s="99" t="str">
        <f>VLOOKUP(I196,SDDK!$C$6:$D$201,2,0)</f>
        <v>Nguồn vốn đầu tư xây dựng cơ bản</v>
      </c>
      <c r="N196" s="99" t="str">
        <f>VLOOKUP(J196,SDDK!$C$6:$D$201,2,0)</f>
        <v>Nguồn vốn kinh doanh</v>
      </c>
    </row>
    <row r="197" spans="1:14" ht="12.75">
      <c r="A197" s="95" t="str">
        <f t="shared" si="2"/>
        <v>30/10/2020</v>
      </c>
      <c r="B197" s="97"/>
      <c r="C197" s="97"/>
      <c r="D197" s="96" t="s">
        <v>544</v>
      </c>
      <c r="E197" s="97" t="s">
        <v>668</v>
      </c>
      <c r="F197" s="98" t="s">
        <v>975</v>
      </c>
      <c r="G197" s="96"/>
      <c r="H197" s="96" t="s">
        <v>1121</v>
      </c>
      <c r="I197" s="100" t="s">
        <v>1</v>
      </c>
      <c r="J197" s="100" t="s">
        <v>457</v>
      </c>
      <c r="K197" s="101"/>
      <c r="L197" s="101">
        <v>40000000</v>
      </c>
      <c r="M197" s="99" t="str">
        <f>VLOOKUP(I197,SDDK!$C$6:$D$201,2,0)</f>
        <v>Quỹ đầu tư phát triển</v>
      </c>
      <c r="N197" s="99" t="str">
        <f>VLOOKUP(J197,SDDK!$C$6:$D$201,2,0)</f>
        <v>Nguồn vốn kinh doanh</v>
      </c>
    </row>
    <row r="198" spans="1:14" ht="12.75">
      <c r="A198" s="95" t="str">
        <f aca="true" t="shared" si="4" ref="A198:A261">F198</f>
        <v>30/10/2020</v>
      </c>
      <c r="B198" s="97"/>
      <c r="C198" s="96" t="s">
        <v>290</v>
      </c>
      <c r="D198" s="96" t="s">
        <v>545</v>
      </c>
      <c r="E198" s="97" t="s">
        <v>669</v>
      </c>
      <c r="F198" s="98" t="s">
        <v>975</v>
      </c>
      <c r="G198" s="96" t="s">
        <v>757</v>
      </c>
      <c r="H198" s="96" t="s">
        <v>1122</v>
      </c>
      <c r="I198" s="102" t="s">
        <v>375</v>
      </c>
      <c r="J198" s="100" t="s">
        <v>428</v>
      </c>
      <c r="K198" s="101">
        <v>1000</v>
      </c>
      <c r="L198" s="101">
        <f>1000*19300</f>
        <v>19300000</v>
      </c>
      <c r="M198" s="99" t="str">
        <f>VLOOKUP(I198,SDDK!$C$6:$D$201,2,0)</f>
        <v>Sợi thun coton thô</v>
      </c>
      <c r="N198" s="99" t="str">
        <f>VLOOKUP(J198,SDDK!$C$6:$D$201,2,0)</f>
        <v>Phải trả dài hạn Công ty TNHH Tú Ngọc</v>
      </c>
    </row>
    <row r="199" spans="1:14" ht="12.75">
      <c r="A199" s="95" t="str">
        <f t="shared" si="4"/>
        <v>30/10/2020</v>
      </c>
      <c r="B199" s="96"/>
      <c r="C199" s="96"/>
      <c r="D199" s="96" t="s">
        <v>545</v>
      </c>
      <c r="E199" s="97" t="s">
        <v>669</v>
      </c>
      <c r="F199" s="98" t="s">
        <v>975</v>
      </c>
      <c r="G199" s="96"/>
      <c r="H199" s="96" t="s">
        <v>1123</v>
      </c>
      <c r="I199" s="102" t="s">
        <v>375</v>
      </c>
      <c r="J199" s="100" t="s">
        <v>434</v>
      </c>
      <c r="K199" s="101"/>
      <c r="L199" s="101">
        <f>L198*0.05</f>
        <v>965000</v>
      </c>
      <c r="M199" s="99" t="str">
        <f>VLOOKUP(I199,SDDK!$C$6:$D$201,2,0)</f>
        <v>Sợi thun coton thô</v>
      </c>
      <c r="N199" s="99" t="str">
        <f>VLOOKUP(J199,SDDK!$C$6:$D$201,2,0)</f>
        <v>Thuế xuất nhập khẩu</v>
      </c>
    </row>
    <row r="200" spans="1:14" ht="12.75">
      <c r="A200" s="95" t="str">
        <f t="shared" si="4"/>
        <v>30/10/2020</v>
      </c>
      <c r="B200" s="96"/>
      <c r="C200" s="96"/>
      <c r="D200" s="96" t="s">
        <v>545</v>
      </c>
      <c r="E200" s="97" t="s">
        <v>669</v>
      </c>
      <c r="F200" s="98" t="s">
        <v>975</v>
      </c>
      <c r="G200" s="96"/>
      <c r="H200" s="96" t="s">
        <v>1002</v>
      </c>
      <c r="I200" s="100" t="s">
        <v>354</v>
      </c>
      <c r="J200" s="100" t="s">
        <v>429</v>
      </c>
      <c r="K200" s="101"/>
      <c r="L200" s="101">
        <f>(L198+L199)*0.1</f>
        <v>2026500</v>
      </c>
      <c r="M200" s="99" t="str">
        <f>VLOOKUP(I200,SDDK!$C$6:$D$201,2,0)</f>
        <v>Thuế GTGT được khấu trừ của hàng hóa, dịch vụ</v>
      </c>
      <c r="N200" s="99" t="str">
        <f>VLOOKUP(J200,SDDK!$C$6:$D$201,2,0)</f>
        <v>Thuế GTGT hàng nhập khẩu</v>
      </c>
    </row>
    <row r="201" spans="1:14" ht="12.75">
      <c r="A201" s="95" t="str">
        <f t="shared" si="4"/>
        <v>30/10/2020</v>
      </c>
      <c r="B201" s="96"/>
      <c r="C201" s="97"/>
      <c r="D201" s="96" t="s">
        <v>546</v>
      </c>
      <c r="E201" s="96" t="s">
        <v>691</v>
      </c>
      <c r="F201" s="98" t="s">
        <v>975</v>
      </c>
      <c r="G201" s="96" t="s">
        <v>754</v>
      </c>
      <c r="H201" s="96" t="s">
        <v>1124</v>
      </c>
      <c r="I201" s="100" t="s">
        <v>417</v>
      </c>
      <c r="J201" s="100" t="s">
        <v>326</v>
      </c>
      <c r="K201" s="101"/>
      <c r="L201" s="101">
        <v>40000000</v>
      </c>
      <c r="M201" s="99" t="str">
        <f>VLOOKUP(I201,SDDK!$C$6:$D$201,2,0)</f>
        <v>Phải trả ngắn hạn Công ty TNHH Sen Hồng</v>
      </c>
      <c r="N201" s="99" t="str">
        <f>VLOOKUP(J201,SDDK!$C$6:$D$201,2,0)</f>
        <v>Tiền gửi ngân hàng (VNĐ)</v>
      </c>
    </row>
    <row r="202" spans="1:14" ht="12.75">
      <c r="A202" s="95" t="str">
        <f t="shared" si="4"/>
        <v>30/10/2020</v>
      </c>
      <c r="B202" s="96"/>
      <c r="C202" s="97"/>
      <c r="D202" s="96" t="s">
        <v>547</v>
      </c>
      <c r="E202" s="96" t="s">
        <v>692</v>
      </c>
      <c r="F202" s="98" t="s">
        <v>975</v>
      </c>
      <c r="G202" s="96" t="s">
        <v>766</v>
      </c>
      <c r="H202" s="96" t="s">
        <v>1125</v>
      </c>
      <c r="I202" s="100" t="s">
        <v>416</v>
      </c>
      <c r="J202" s="100" t="s">
        <v>326</v>
      </c>
      <c r="K202" s="101"/>
      <c r="L202" s="101">
        <v>9700000</v>
      </c>
      <c r="M202" s="99" t="str">
        <f>VLOOKUP(I202,SDDK!$C$6:$D$201,2,0)</f>
        <v>Phải trả ngắn hạn Công ty TNHH Quang Ngọc</v>
      </c>
      <c r="N202" s="99" t="str">
        <f>VLOOKUP(J202,SDDK!$C$6:$D$201,2,0)</f>
        <v>Tiền gửi ngân hàng (VNĐ)</v>
      </c>
    </row>
    <row r="203" spans="1:14" ht="12.75">
      <c r="A203" s="95" t="str">
        <f t="shared" si="4"/>
        <v>30/10/2020</v>
      </c>
      <c r="B203" s="96"/>
      <c r="C203" s="97"/>
      <c r="D203" s="96" t="s">
        <v>548</v>
      </c>
      <c r="E203" s="96" t="s">
        <v>693</v>
      </c>
      <c r="F203" s="98" t="s">
        <v>975</v>
      </c>
      <c r="G203" s="96" t="s">
        <v>976</v>
      </c>
      <c r="H203" s="96" t="s">
        <v>1126</v>
      </c>
      <c r="I203" s="100" t="s">
        <v>94</v>
      </c>
      <c r="J203" s="100" t="s">
        <v>326</v>
      </c>
      <c r="K203" s="101"/>
      <c r="L203" s="101">
        <v>3700000</v>
      </c>
      <c r="M203" s="99" t="str">
        <f>VLOOKUP(I203,SDDK!$C$6:$D$201,2,0)</f>
        <v>Chi phí dịch vụ quản lý doanh nghiệp</v>
      </c>
      <c r="N203" s="99" t="str">
        <f>VLOOKUP(J203,SDDK!$C$6:$D$201,2,0)</f>
        <v>Tiền gửi ngân hàng (VNĐ)</v>
      </c>
    </row>
    <row r="204" spans="1:14" ht="12.75">
      <c r="A204" s="95" t="str">
        <f t="shared" si="4"/>
        <v>30/10/2020</v>
      </c>
      <c r="B204" s="96"/>
      <c r="C204" s="97"/>
      <c r="D204" s="96" t="s">
        <v>548</v>
      </c>
      <c r="E204" s="96" t="s">
        <v>693</v>
      </c>
      <c r="F204" s="98" t="s">
        <v>975</v>
      </c>
      <c r="G204" s="96" t="s">
        <v>976</v>
      </c>
      <c r="H204" s="96" t="s">
        <v>1068</v>
      </c>
      <c r="I204" s="100" t="s">
        <v>354</v>
      </c>
      <c r="J204" s="100" t="s">
        <v>326</v>
      </c>
      <c r="K204" s="101"/>
      <c r="L204" s="101">
        <f>L203*0.1</f>
        <v>370000</v>
      </c>
      <c r="M204" s="99" t="str">
        <f>VLOOKUP(I204,SDDK!$C$6:$D$201,2,0)</f>
        <v>Thuế GTGT được khấu trừ của hàng hóa, dịch vụ</v>
      </c>
      <c r="N204" s="99" t="str">
        <f>VLOOKUP(J204,SDDK!$C$6:$D$201,2,0)</f>
        <v>Tiền gửi ngân hàng (VNĐ)</v>
      </c>
    </row>
    <row r="205" spans="1:14" ht="12.75">
      <c r="A205" s="95" t="str">
        <f t="shared" si="4"/>
        <v>30/10/2020</v>
      </c>
      <c r="B205" s="96"/>
      <c r="C205" s="97"/>
      <c r="D205" s="96" t="s">
        <v>549</v>
      </c>
      <c r="E205" s="96" t="s">
        <v>694</v>
      </c>
      <c r="F205" s="98" t="s">
        <v>975</v>
      </c>
      <c r="G205" s="96" t="s">
        <v>193</v>
      </c>
      <c r="H205" s="96" t="s">
        <v>1127</v>
      </c>
      <c r="I205" s="100" t="s">
        <v>732</v>
      </c>
      <c r="J205" s="100" t="s">
        <v>326</v>
      </c>
      <c r="K205" s="101"/>
      <c r="L205" s="101">
        <v>150000000</v>
      </c>
      <c r="M205" s="99" t="str">
        <f>VLOOKUP(I205,SDDK!$C$6:$D$201,2,0)</f>
        <v>Các khoản đi vay ngắn hạn.</v>
      </c>
      <c r="N205" s="99" t="str">
        <f>VLOOKUP(J205,SDDK!$C$6:$D$201,2,0)</f>
        <v>Tiền gửi ngân hàng (VNĐ)</v>
      </c>
    </row>
    <row r="206" spans="1:14" ht="12.75">
      <c r="A206" s="95" t="str">
        <f t="shared" si="4"/>
        <v>30/10/2020</v>
      </c>
      <c r="B206" s="96"/>
      <c r="C206" s="97"/>
      <c r="D206" s="96" t="s">
        <v>549</v>
      </c>
      <c r="E206" s="96" t="s">
        <v>694</v>
      </c>
      <c r="F206" s="98" t="s">
        <v>975</v>
      </c>
      <c r="G206" s="96" t="s">
        <v>193</v>
      </c>
      <c r="H206" s="96" t="s">
        <v>1128</v>
      </c>
      <c r="I206" s="100" t="s">
        <v>64</v>
      </c>
      <c r="J206" s="100" t="s">
        <v>326</v>
      </c>
      <c r="K206" s="101"/>
      <c r="L206" s="101">
        <v>1400000</v>
      </c>
      <c r="M206" s="99" t="str">
        <f>VLOOKUP(I206,SDDK!$C$6:$D$201,2,0)</f>
        <v>Chi phí hoạt động tài chính (lãi vay)</v>
      </c>
      <c r="N206" s="99" t="str">
        <f>VLOOKUP(J206,SDDK!$C$6:$D$201,2,0)</f>
        <v>Tiền gửi ngân hàng (VNĐ)</v>
      </c>
    </row>
    <row r="207" spans="1:14" ht="12.75">
      <c r="A207" s="95" t="str">
        <f t="shared" si="4"/>
        <v>30/10/2020</v>
      </c>
      <c r="B207" s="96"/>
      <c r="C207" s="97"/>
      <c r="D207" s="96" t="s">
        <v>550</v>
      </c>
      <c r="E207" s="96" t="s">
        <v>695</v>
      </c>
      <c r="F207" s="98" t="s">
        <v>975</v>
      </c>
      <c r="G207" s="96"/>
      <c r="H207" s="96" t="s">
        <v>1129</v>
      </c>
      <c r="I207" s="100" t="s">
        <v>326</v>
      </c>
      <c r="J207" s="100" t="s">
        <v>22</v>
      </c>
      <c r="K207" s="101"/>
      <c r="L207" s="101">
        <v>750000</v>
      </c>
      <c r="M207" s="99" t="str">
        <f>VLOOKUP(I207,SDDK!$C$6:$D$201,2,0)</f>
        <v>Tiền gửi ngân hàng (VNĐ)</v>
      </c>
      <c r="N207" s="99" t="str">
        <f>VLOOKUP(J207,SDDK!$C$6:$D$201,2,0)</f>
        <v>Doanh thu tài chính phải nộp thuế TN (Lãi TG ngân hàng)</v>
      </c>
    </row>
    <row r="208" spans="1:14" ht="12.75">
      <c r="A208" s="95" t="str">
        <f t="shared" si="4"/>
        <v>30/10/2020</v>
      </c>
      <c r="B208" s="96"/>
      <c r="C208" s="97"/>
      <c r="D208" s="96" t="s">
        <v>551</v>
      </c>
      <c r="E208" s="96" t="s">
        <v>696</v>
      </c>
      <c r="F208" s="98" t="s">
        <v>975</v>
      </c>
      <c r="G208" s="96" t="s">
        <v>119</v>
      </c>
      <c r="H208" s="96" t="s">
        <v>1057</v>
      </c>
      <c r="I208" s="100" t="s">
        <v>326</v>
      </c>
      <c r="J208" s="100" t="s">
        <v>343</v>
      </c>
      <c r="K208" s="101"/>
      <c r="L208" s="101">
        <v>30000000</v>
      </c>
      <c r="M208" s="99" t="str">
        <f>VLOOKUP(I208,SDDK!$C$6:$D$201,2,0)</f>
        <v>Tiền gửi ngân hàng (VNĐ)</v>
      </c>
      <c r="N208" s="99" t="str">
        <f>VLOOKUP(J208,SDDK!$C$6:$D$201,2,0)</f>
        <v>Phải thu ngắn hạn Công ty GEMARTRANS </v>
      </c>
    </row>
    <row r="209" spans="1:14" ht="12.75">
      <c r="A209" s="95" t="str">
        <f t="shared" si="4"/>
        <v>30/10/2020</v>
      </c>
      <c r="B209" s="96"/>
      <c r="C209" s="97"/>
      <c r="D209" s="96" t="s">
        <v>552</v>
      </c>
      <c r="E209" s="96" t="s">
        <v>697</v>
      </c>
      <c r="F209" s="98" t="s">
        <v>975</v>
      </c>
      <c r="G209" s="96" t="s">
        <v>964</v>
      </c>
      <c r="H209" s="96" t="s">
        <v>1130</v>
      </c>
      <c r="I209" s="100" t="s">
        <v>326</v>
      </c>
      <c r="J209" s="100" t="s">
        <v>346</v>
      </c>
      <c r="K209" s="101"/>
      <c r="L209" s="101">
        <v>300000</v>
      </c>
      <c r="M209" s="99" t="str">
        <f>VLOOKUP(I209,SDDK!$C$6:$D$201,2,0)</f>
        <v>Tiền gửi ngân hàng (VNĐ)</v>
      </c>
      <c r="N209" s="99" t="str">
        <f>VLOOKUP(J209,SDDK!$C$6:$D$201,2,0)</f>
        <v>Phải thu ngắn hạn Công ty CP Hoa Sen</v>
      </c>
    </row>
    <row r="210" spans="1:14" ht="12.75">
      <c r="A210" s="95" t="str">
        <f t="shared" si="4"/>
        <v>30/10/2020</v>
      </c>
      <c r="B210" s="96"/>
      <c r="C210" s="97"/>
      <c r="D210" s="96" t="s">
        <v>553</v>
      </c>
      <c r="E210" s="96" t="s">
        <v>698</v>
      </c>
      <c r="F210" s="98" t="s">
        <v>975</v>
      </c>
      <c r="G210" s="96"/>
      <c r="H210" s="96" t="s">
        <v>1131</v>
      </c>
      <c r="I210" s="100" t="s">
        <v>326</v>
      </c>
      <c r="J210" s="100" t="s">
        <v>23</v>
      </c>
      <c r="K210" s="101"/>
      <c r="L210" s="101">
        <v>600000</v>
      </c>
      <c r="M210" s="99" t="str">
        <f>VLOOKUP(I210,SDDK!$C$6:$D$201,2,0)</f>
        <v>Tiền gửi ngân hàng (VNĐ)</v>
      </c>
      <c r="N210" s="99" t="str">
        <f>VLOOKUP(J210,SDDK!$C$6:$D$201,2,0)</f>
        <v>Doanh thu tài chính không phải nộp thuế TN (lãi liên doanh)</v>
      </c>
    </row>
    <row r="211" spans="1:14" ht="12.75">
      <c r="A211" s="95" t="str">
        <f t="shared" si="4"/>
        <v>30/10/2020</v>
      </c>
      <c r="B211" s="96"/>
      <c r="C211" s="97"/>
      <c r="D211" s="96" t="s">
        <v>554</v>
      </c>
      <c r="E211" s="96" t="s">
        <v>699</v>
      </c>
      <c r="F211" s="98" t="s">
        <v>975</v>
      </c>
      <c r="G211" s="96" t="s">
        <v>203</v>
      </c>
      <c r="H211" s="96" t="s">
        <v>1132</v>
      </c>
      <c r="I211" s="100" t="s">
        <v>409</v>
      </c>
      <c r="J211" s="100" t="s">
        <v>326</v>
      </c>
      <c r="K211" s="101"/>
      <c r="L211" s="101">
        <v>25000000</v>
      </c>
      <c r="M211" s="99" t="str">
        <f>VLOOKUP(I211,SDDK!$C$6:$D$201,2,0)</f>
        <v>Phải trả ngắn hạn Công ty LOGITIC</v>
      </c>
      <c r="N211" s="99" t="str">
        <f>VLOOKUP(J211,SDDK!$C$6:$D$201,2,0)</f>
        <v>Tiền gửi ngân hàng (VNĐ)</v>
      </c>
    </row>
    <row r="212" spans="1:14" ht="12.75">
      <c r="A212" s="95" t="str">
        <f t="shared" si="4"/>
        <v>30/10/2020</v>
      </c>
      <c r="B212" s="96"/>
      <c r="C212" s="97"/>
      <c r="D212" s="96" t="s">
        <v>555</v>
      </c>
      <c r="E212" s="96" t="s">
        <v>700</v>
      </c>
      <c r="F212" s="98" t="s">
        <v>975</v>
      </c>
      <c r="G212" s="96"/>
      <c r="H212" s="96" t="s">
        <v>1133</v>
      </c>
      <c r="I212" s="100" t="s">
        <v>367</v>
      </c>
      <c r="J212" s="100" t="s">
        <v>358</v>
      </c>
      <c r="K212" s="101"/>
      <c r="L212" s="101">
        <v>140000</v>
      </c>
      <c r="M212" s="99" t="str">
        <f>VLOOKUP(I212,SDDK!$C$6:$D$201,2,0)</f>
        <v>Các khoản phải thu khác (Thuế GTGT được hoàn lại)</v>
      </c>
      <c r="N212" s="99" t="str">
        <f>VLOOKUP(J212,SDDK!$C$6:$D$201,2,0)</f>
        <v>Thuế GTGT đã đề nghị hoàn</v>
      </c>
    </row>
    <row r="213" spans="1:14" ht="12.75">
      <c r="A213" s="95" t="str">
        <f t="shared" si="4"/>
        <v>30/10/2020</v>
      </c>
      <c r="B213" s="96"/>
      <c r="C213" s="97"/>
      <c r="D213" s="96" t="s">
        <v>555</v>
      </c>
      <c r="E213" s="96" t="s">
        <v>700</v>
      </c>
      <c r="F213" s="98" t="s">
        <v>975</v>
      </c>
      <c r="G213" s="96"/>
      <c r="H213" s="96" t="s">
        <v>1134</v>
      </c>
      <c r="I213" s="100" t="s">
        <v>62</v>
      </c>
      <c r="J213" s="100" t="s">
        <v>358</v>
      </c>
      <c r="K213" s="101"/>
      <c r="L213" s="101">
        <v>10000</v>
      </c>
      <c r="M213" s="99" t="str">
        <f>VLOOKUP(I213,SDDK!$C$6:$D$201,2,0)</f>
        <v>Giá vốn hàng bán</v>
      </c>
      <c r="N213" s="99" t="str">
        <f>VLOOKUP(J213,SDDK!$C$6:$D$201,2,0)</f>
        <v>Thuế GTGT đã đề nghị hoàn</v>
      </c>
    </row>
    <row r="214" spans="1:14" ht="12.75">
      <c r="A214" s="95" t="str">
        <f t="shared" si="4"/>
        <v>30/10/2020</v>
      </c>
      <c r="B214" s="96"/>
      <c r="C214" s="97"/>
      <c r="D214" s="96" t="s">
        <v>556</v>
      </c>
      <c r="E214" s="96" t="s">
        <v>701</v>
      </c>
      <c r="F214" s="98" t="s">
        <v>975</v>
      </c>
      <c r="G214" s="96"/>
      <c r="H214" s="96" t="s">
        <v>1135</v>
      </c>
      <c r="I214" s="100" t="s">
        <v>731</v>
      </c>
      <c r="J214" s="100" t="s">
        <v>732</v>
      </c>
      <c r="K214" s="101"/>
      <c r="L214" s="101">
        <v>30000000</v>
      </c>
      <c r="M214" s="99" t="str">
        <f>VLOOKUP(I214,SDDK!$C$6:$D$201,2,0)</f>
        <v>Các khoản đi vay dài hạn.</v>
      </c>
      <c r="N214" s="99" t="str">
        <f>VLOOKUP(J214,SDDK!$C$6:$D$201,2,0)</f>
        <v>Các khoản đi vay ngắn hạn.</v>
      </c>
    </row>
    <row r="215" spans="1:14" ht="12.75">
      <c r="A215" s="95" t="str">
        <f t="shared" si="4"/>
        <v>30/10/2020</v>
      </c>
      <c r="B215" s="96"/>
      <c r="C215" s="97"/>
      <c r="D215" s="96" t="s">
        <v>557</v>
      </c>
      <c r="E215" s="96" t="s">
        <v>706</v>
      </c>
      <c r="F215" s="98" t="s">
        <v>975</v>
      </c>
      <c r="G215" s="96"/>
      <c r="H215" s="96" t="s">
        <v>1136</v>
      </c>
      <c r="I215" s="100" t="s">
        <v>92</v>
      </c>
      <c r="J215" s="100" t="s">
        <v>726</v>
      </c>
      <c r="K215" s="101"/>
      <c r="L215" s="101">
        <v>5500000</v>
      </c>
      <c r="M215" s="99" t="str">
        <f>VLOOKUP(I215,SDDK!$C$6:$D$201,2,0)</f>
        <v>Chi phí dự phòng</v>
      </c>
      <c r="N215" s="99" t="str">
        <f>VLOOKUP(J215,SDDK!$C$6:$D$201,2,0)</f>
        <v>Dự phòng các khoản phải thu ngắn hạn khó đòi (*)</v>
      </c>
    </row>
    <row r="216" spans="1:14" ht="12.75">
      <c r="A216" s="95" t="str">
        <f t="shared" si="4"/>
        <v>30/10/2020</v>
      </c>
      <c r="B216" s="96"/>
      <c r="C216" s="96"/>
      <c r="D216" s="96" t="s">
        <v>558</v>
      </c>
      <c r="E216" s="96" t="s">
        <v>705</v>
      </c>
      <c r="F216" s="98" t="s">
        <v>975</v>
      </c>
      <c r="G216" s="96"/>
      <c r="H216" s="96" t="s">
        <v>1137</v>
      </c>
      <c r="I216" s="100" t="s">
        <v>62</v>
      </c>
      <c r="J216" s="100" t="s">
        <v>721</v>
      </c>
      <c r="K216" s="101"/>
      <c r="L216" s="101">
        <v>16260000</v>
      </c>
      <c r="M216" s="99" t="str">
        <f>VLOOKUP(I216,SDDK!$C$6:$D$201,2,0)</f>
        <v>Giá vốn hàng bán</v>
      </c>
      <c r="N216" s="99" t="str">
        <f>VLOOKUP(J216,SDDK!$C$6:$D$201,2,0)</f>
        <v>Dự phòng giảm giá hàng tồn kho (*)</v>
      </c>
    </row>
    <row r="217" spans="1:14" ht="12.75">
      <c r="A217" s="95" t="str">
        <f t="shared" si="4"/>
        <v>30/10/2020</v>
      </c>
      <c r="B217" s="96"/>
      <c r="C217" s="97"/>
      <c r="D217" s="96" t="s">
        <v>559</v>
      </c>
      <c r="E217" s="96" t="s">
        <v>707</v>
      </c>
      <c r="F217" s="98" t="s">
        <v>975</v>
      </c>
      <c r="G217" s="96"/>
      <c r="H217" s="96" t="s">
        <v>1138</v>
      </c>
      <c r="I217" s="100" t="s">
        <v>66</v>
      </c>
      <c r="J217" s="100" t="s">
        <v>722</v>
      </c>
      <c r="K217" s="101"/>
      <c r="L217" s="101">
        <v>5000000</v>
      </c>
      <c r="M217" s="99" t="str">
        <f>VLOOKUP(I217,SDDK!$C$6:$D$201,2,0)</f>
        <v>Chi phí hoạt động tài chính (chi khác)</v>
      </c>
      <c r="N217" s="99" t="str">
        <f>VLOOKUP(J217,SDDK!$C$6:$D$201,2,0)</f>
        <v>Dự phòng giảm giá chứng khoán kinh doanh ngắn hạn (*)</v>
      </c>
    </row>
    <row r="218" spans="1:14" ht="12.75">
      <c r="A218" s="95" t="str">
        <f t="shared" si="4"/>
        <v>30/10/2020</v>
      </c>
      <c r="B218" s="96"/>
      <c r="C218" s="97"/>
      <c r="D218" s="96" t="s">
        <v>560</v>
      </c>
      <c r="E218" s="97" t="s">
        <v>708</v>
      </c>
      <c r="F218" s="98" t="s">
        <v>975</v>
      </c>
      <c r="G218" s="96" t="s">
        <v>118</v>
      </c>
      <c r="H218" s="96" t="s">
        <v>1139</v>
      </c>
      <c r="I218" s="100" t="s">
        <v>740</v>
      </c>
      <c r="J218" s="100" t="s">
        <v>349</v>
      </c>
      <c r="K218" s="101"/>
      <c r="L218" s="101">
        <f>5%*L121</f>
        <v>5655000</v>
      </c>
      <c r="M218" s="99" t="str">
        <f>VLOOKUP(I218,SDDK!$C$6:$D$201,2,0)</f>
        <v>Giảm giá hàng bán</v>
      </c>
      <c r="N218" s="99" t="str">
        <f>VLOOKUP(J218,SDDK!$C$6:$D$201,2,0)</f>
        <v>Phải thu dài hạn Xí Nghiệp LIDOVIT</v>
      </c>
    </row>
    <row r="219" spans="1:14" ht="12.75">
      <c r="A219" s="95" t="str">
        <f t="shared" si="4"/>
        <v>30/10/2020</v>
      </c>
      <c r="B219" s="96"/>
      <c r="C219" s="97"/>
      <c r="D219" s="96" t="s">
        <v>560</v>
      </c>
      <c r="E219" s="97" t="s">
        <v>708</v>
      </c>
      <c r="F219" s="98" t="s">
        <v>975</v>
      </c>
      <c r="G219" s="96" t="s">
        <v>118</v>
      </c>
      <c r="H219" s="96" t="s">
        <v>1140</v>
      </c>
      <c r="I219" s="100" t="s">
        <v>431</v>
      </c>
      <c r="J219" s="100" t="s">
        <v>349</v>
      </c>
      <c r="K219" s="101"/>
      <c r="L219" s="101">
        <f>L218*5%</f>
        <v>282750</v>
      </c>
      <c r="M219" s="99" t="str">
        <f>VLOOKUP(I219,SDDK!$C$6:$D$201,2,0)</f>
        <v>Thuế GTGT hàng bán bị trả lại, giảm giá, chiết khấu</v>
      </c>
      <c r="N219" s="99" t="str">
        <f>VLOOKUP(J219,SDDK!$C$6:$D$201,2,0)</f>
        <v>Phải thu dài hạn Xí Nghiệp LIDOVIT</v>
      </c>
    </row>
    <row r="220" spans="1:14" ht="12.75">
      <c r="A220" s="95" t="str">
        <f t="shared" si="4"/>
        <v>30/10/2020</v>
      </c>
      <c r="B220" s="96"/>
      <c r="C220" s="97"/>
      <c r="D220" s="96" t="s">
        <v>561</v>
      </c>
      <c r="E220" s="96" t="s">
        <v>709</v>
      </c>
      <c r="F220" s="98" t="s">
        <v>975</v>
      </c>
      <c r="G220" s="96"/>
      <c r="H220" s="96" t="s">
        <v>1141</v>
      </c>
      <c r="I220" s="100" t="s">
        <v>90</v>
      </c>
      <c r="J220" s="100" t="s">
        <v>443</v>
      </c>
      <c r="K220" s="101"/>
      <c r="L220" s="101">
        <v>1500000</v>
      </c>
      <c r="M220" s="99" t="str">
        <f>VLOOKUP(I220,SDDK!$C$6:$D$201,2,0)</f>
        <v>Thuế, phí và lệ phí quản lý doanh nghiệp</v>
      </c>
      <c r="N220" s="99" t="str">
        <f>VLOOKUP(J220,SDDK!$C$6:$D$201,2,0)</f>
        <v>Các loại thuế khác</v>
      </c>
    </row>
    <row r="221" spans="1:14" ht="12.75">
      <c r="A221" s="95" t="str">
        <f t="shared" si="4"/>
        <v>30/10/2020</v>
      </c>
      <c r="B221" s="96"/>
      <c r="C221" s="97"/>
      <c r="D221" s="96" t="s">
        <v>562</v>
      </c>
      <c r="E221" s="96" t="s">
        <v>671</v>
      </c>
      <c r="F221" s="98" t="s">
        <v>975</v>
      </c>
      <c r="G221" s="96"/>
      <c r="H221" s="96" t="s">
        <v>1142</v>
      </c>
      <c r="I221" s="100" t="s">
        <v>354</v>
      </c>
      <c r="J221" s="100" t="s">
        <v>429</v>
      </c>
      <c r="K221" s="101"/>
      <c r="L221" s="101">
        <v>1000000</v>
      </c>
      <c r="M221" s="99" t="str">
        <f>VLOOKUP(I221,SDDK!$C$6:$D$201,2,0)</f>
        <v>Thuế GTGT được khấu trừ của hàng hóa, dịch vụ</v>
      </c>
      <c r="N221" s="99" t="str">
        <f>VLOOKUP(J221,SDDK!$C$6:$D$201,2,0)</f>
        <v>Thuế GTGT hàng nhập khẩu</v>
      </c>
    </row>
    <row r="222" spans="1:14" ht="12.75">
      <c r="A222" s="95" t="str">
        <f t="shared" si="4"/>
        <v>30/10/2020</v>
      </c>
      <c r="B222" s="96" t="s">
        <v>294</v>
      </c>
      <c r="C222" s="97"/>
      <c r="D222" s="97"/>
      <c r="E222" s="97"/>
      <c r="F222" s="98" t="s">
        <v>975</v>
      </c>
      <c r="G222" s="96" t="s">
        <v>193</v>
      </c>
      <c r="H222" s="96" t="s">
        <v>1143</v>
      </c>
      <c r="I222" s="100" t="s">
        <v>429</v>
      </c>
      <c r="J222" s="100" t="s">
        <v>323</v>
      </c>
      <c r="K222" s="101"/>
      <c r="L222" s="101">
        <v>1000000</v>
      </c>
      <c r="M222" s="99" t="str">
        <f>VLOOKUP(I222,SDDK!$C$6:$D$201,2,0)</f>
        <v>Thuế GTGT hàng nhập khẩu</v>
      </c>
      <c r="N222" s="99" t="str">
        <f>VLOOKUP(J222,SDDK!$C$6:$D$201,2,0)</f>
        <v>Tiền mặt tại quỹ, ngân phiếu (VNĐ)</v>
      </c>
    </row>
    <row r="223" spans="1:14" ht="12.75">
      <c r="A223" s="95" t="str">
        <f t="shared" si="4"/>
        <v>30/10/2020</v>
      </c>
      <c r="B223" s="96"/>
      <c r="C223" s="96" t="s">
        <v>293</v>
      </c>
      <c r="D223" s="96" t="s">
        <v>563</v>
      </c>
      <c r="E223" s="97" t="s">
        <v>670</v>
      </c>
      <c r="F223" s="98" t="s">
        <v>975</v>
      </c>
      <c r="G223" s="96" t="s">
        <v>757</v>
      </c>
      <c r="H223" s="96" t="s">
        <v>1034</v>
      </c>
      <c r="I223" s="100" t="s">
        <v>376</v>
      </c>
      <c r="J223" s="100" t="s">
        <v>414</v>
      </c>
      <c r="K223" s="101">
        <v>80000</v>
      </c>
      <c r="L223" s="101">
        <f>80000*12000</f>
        <v>960000000</v>
      </c>
      <c r="M223" s="99" t="str">
        <f>VLOOKUP(I223,SDDK!$C$6:$D$201,2,0)</f>
        <v>Thuốc nhuộm màu xanh đen C02</v>
      </c>
      <c r="N223" s="99" t="str">
        <f>VLOOKUP(J223,SDDK!$C$6:$D$201,2,0)</f>
        <v>Phải trả ngắn hạn Công ty TNHH Tú Ngọc</v>
      </c>
    </row>
    <row r="224" spans="1:14" ht="12.75">
      <c r="A224" s="95" t="str">
        <f t="shared" si="4"/>
        <v>30/10/2020</v>
      </c>
      <c r="B224" s="96"/>
      <c r="C224" s="96" t="s">
        <v>293</v>
      </c>
      <c r="D224" s="96" t="s">
        <v>564</v>
      </c>
      <c r="E224" s="97" t="s">
        <v>670</v>
      </c>
      <c r="F224" s="98" t="s">
        <v>975</v>
      </c>
      <c r="G224" s="96" t="s">
        <v>757</v>
      </c>
      <c r="H224" s="96" t="s">
        <v>1034</v>
      </c>
      <c r="I224" s="100" t="s">
        <v>377</v>
      </c>
      <c r="J224" s="100" t="s">
        <v>414</v>
      </c>
      <c r="K224" s="101">
        <v>120000</v>
      </c>
      <c r="L224" s="101">
        <f>K224*8000</f>
        <v>960000000</v>
      </c>
      <c r="M224" s="99" t="str">
        <f>VLOOKUP(I224,SDDK!$C$6:$D$201,2,0)</f>
        <v>Thuốc nhuộm màu vàng B02</v>
      </c>
      <c r="N224" s="99" t="str">
        <f>VLOOKUP(J224,SDDK!$C$6:$D$201,2,0)</f>
        <v>Phải trả ngắn hạn Công ty TNHH Tú Ngọc</v>
      </c>
    </row>
    <row r="225" spans="1:14" ht="12.75">
      <c r="A225" s="95" t="str">
        <f t="shared" si="4"/>
        <v>30/10/2020</v>
      </c>
      <c r="B225" s="96"/>
      <c r="C225" s="96"/>
      <c r="D225" s="96" t="s">
        <v>564</v>
      </c>
      <c r="E225" s="97" t="s">
        <v>670</v>
      </c>
      <c r="F225" s="98" t="s">
        <v>975</v>
      </c>
      <c r="G225" s="96" t="s">
        <v>757</v>
      </c>
      <c r="H225" s="96" t="s">
        <v>1068</v>
      </c>
      <c r="I225" s="102" t="s">
        <v>354</v>
      </c>
      <c r="J225" s="100" t="s">
        <v>414</v>
      </c>
      <c r="K225" s="101"/>
      <c r="L225" s="101">
        <f>SUM(L223:L224)*0.1</f>
        <v>192000000</v>
      </c>
      <c r="M225" s="99" t="str">
        <f>VLOOKUP(I225,SDDK!$C$6:$D$201,2,0)</f>
        <v>Thuế GTGT được khấu trừ của hàng hóa, dịch vụ</v>
      </c>
      <c r="N225" s="99" t="str">
        <f>VLOOKUP(J225,SDDK!$C$6:$D$201,2,0)</f>
        <v>Phải trả ngắn hạn Công ty TNHH Tú Ngọc</v>
      </c>
    </row>
    <row r="226" spans="1:14" ht="12.75">
      <c r="A226" s="95" t="str">
        <f t="shared" si="4"/>
        <v>30/10/2020</v>
      </c>
      <c r="B226" s="96"/>
      <c r="C226" s="96" t="s">
        <v>295</v>
      </c>
      <c r="D226" s="96" t="s">
        <v>565</v>
      </c>
      <c r="E226" s="96"/>
      <c r="F226" s="98" t="s">
        <v>975</v>
      </c>
      <c r="G226" s="96" t="s">
        <v>602</v>
      </c>
      <c r="H226" s="96" t="s">
        <v>1144</v>
      </c>
      <c r="I226" s="100" t="s">
        <v>380</v>
      </c>
      <c r="J226" s="100" t="s">
        <v>381</v>
      </c>
      <c r="K226" s="101">
        <v>833</v>
      </c>
      <c r="L226" s="101">
        <v>1500000</v>
      </c>
      <c r="M226" s="99" t="str">
        <f>VLOOKUP(I226,SDDK!$C$6:$D$201,2,0)</f>
        <v>Vải phế liệu</v>
      </c>
      <c r="N226" s="99" t="str">
        <f>VLOOKUP(J226,SDDK!$C$6:$D$201,2,0)</f>
        <v>Chi phí SXKD dở dang Vải thun coton (giá kế hoạch 4600)</v>
      </c>
    </row>
    <row r="227" spans="1:14" ht="12.75">
      <c r="A227" s="95" t="str">
        <f t="shared" si="4"/>
        <v>30/10/2020</v>
      </c>
      <c r="B227" s="96"/>
      <c r="C227" s="96" t="s">
        <v>296</v>
      </c>
      <c r="D227" s="96" t="s">
        <v>565</v>
      </c>
      <c r="E227" s="96"/>
      <c r="F227" s="98" t="s">
        <v>975</v>
      </c>
      <c r="G227" s="96" t="s">
        <v>602</v>
      </c>
      <c r="H227" s="96" t="s">
        <v>1145</v>
      </c>
      <c r="I227" s="100" t="s">
        <v>380</v>
      </c>
      <c r="J227" s="100" t="s">
        <v>382</v>
      </c>
      <c r="K227" s="101">
        <v>668</v>
      </c>
      <c r="L227" s="101">
        <v>1200000</v>
      </c>
      <c r="M227" s="99" t="str">
        <f>VLOOKUP(I227,SDDK!$C$6:$D$201,2,0)</f>
        <v>Vải phế liệu</v>
      </c>
      <c r="N227" s="99" t="str">
        <f>VLOOKUP(J227,SDDK!$C$6:$D$201,2,0)</f>
        <v>Chi phí SXKD dở dang Thảm lót chân (giá kế hoạch 5500)</v>
      </c>
    </row>
    <row r="228" spans="1:14" ht="12.75">
      <c r="A228" s="95" t="str">
        <f t="shared" si="4"/>
        <v>30/10/2020</v>
      </c>
      <c r="B228" s="96" t="s">
        <v>298</v>
      </c>
      <c r="C228" s="96"/>
      <c r="D228" s="96"/>
      <c r="E228" s="47"/>
      <c r="F228" s="98" t="s">
        <v>975</v>
      </c>
      <c r="G228" s="96" t="s">
        <v>260</v>
      </c>
      <c r="H228" s="96" t="s">
        <v>1146</v>
      </c>
      <c r="I228" s="100" t="s">
        <v>323</v>
      </c>
      <c r="J228" s="100" t="s">
        <v>340</v>
      </c>
      <c r="K228" s="101"/>
      <c r="L228" s="101">
        <v>20000000</v>
      </c>
      <c r="M228" s="99" t="str">
        <f>VLOOKUP(I228,SDDK!$C$6:$D$201,2,0)</f>
        <v>Tiền mặt tại quỹ, ngân phiếu (VNĐ)</v>
      </c>
      <c r="N228" s="99" t="str">
        <f>VLOOKUP(J228,SDDK!$C$6:$D$201,2,0)</f>
        <v>Phải thu ngắn hạn Công ty Metro</v>
      </c>
    </row>
    <row r="229" spans="1:14" ht="12.75">
      <c r="A229" s="95" t="str">
        <f t="shared" si="4"/>
        <v>30/10/2020</v>
      </c>
      <c r="B229" s="96"/>
      <c r="C229" s="96"/>
      <c r="D229" s="96" t="s">
        <v>566</v>
      </c>
      <c r="E229" s="96" t="s">
        <v>710</v>
      </c>
      <c r="F229" s="98" t="s">
        <v>975</v>
      </c>
      <c r="G229" s="96" t="s">
        <v>757</v>
      </c>
      <c r="H229" s="96" t="s">
        <v>1147</v>
      </c>
      <c r="I229" s="100" t="s">
        <v>414</v>
      </c>
      <c r="J229" s="102" t="s">
        <v>326</v>
      </c>
      <c r="K229" s="101"/>
      <c r="L229" s="101">
        <v>50000000</v>
      </c>
      <c r="M229" s="99" t="str">
        <f>VLOOKUP(I229,SDDK!$C$6:$D$201,2,0)</f>
        <v>Phải trả ngắn hạn Công ty TNHH Tú Ngọc</v>
      </c>
      <c r="N229" s="99" t="str">
        <f>VLOOKUP(J229,SDDK!$C$6:$D$201,2,0)</f>
        <v>Tiền gửi ngân hàng (VNĐ)</v>
      </c>
    </row>
    <row r="230" spans="1:14" ht="12.75">
      <c r="A230" s="95" t="str">
        <f t="shared" si="4"/>
        <v>30/10/2020</v>
      </c>
      <c r="B230" s="97"/>
      <c r="C230" s="97"/>
      <c r="D230" s="96" t="s">
        <v>567</v>
      </c>
      <c r="E230" s="96" t="s">
        <v>671</v>
      </c>
      <c r="F230" s="98" t="s">
        <v>975</v>
      </c>
      <c r="G230" s="96"/>
      <c r="H230" s="96" t="s">
        <v>1148</v>
      </c>
      <c r="I230" s="100" t="s">
        <v>161</v>
      </c>
      <c r="J230" s="100" t="s">
        <v>431</v>
      </c>
      <c r="K230" s="101"/>
      <c r="L230" s="101">
        <f>SUMIF($I$5:$I$331,J230,$L$5:$L$331)</f>
        <v>282750</v>
      </c>
      <c r="M230" s="99" t="str">
        <f>VLOOKUP(I230,SDDK!$C$6:$D$201,2,0)</f>
        <v>Thuế GTGT đầu ra hoạt động kinh doanh</v>
      </c>
      <c r="N230" s="99" t="str">
        <f>VLOOKUP(J230,SDDK!$C$6:$D$201,2,0)</f>
        <v>Thuế GTGT hàng bán bị trả lại, giảm giá, chiết khấu</v>
      </c>
    </row>
    <row r="231" spans="1:14" ht="12.75">
      <c r="A231" s="95" t="str">
        <f t="shared" si="4"/>
        <v>30/10/2020</v>
      </c>
      <c r="B231" s="97"/>
      <c r="C231" s="97"/>
      <c r="D231" s="96" t="s">
        <v>568</v>
      </c>
      <c r="E231" s="96" t="s">
        <v>671</v>
      </c>
      <c r="F231" s="98" t="s">
        <v>975</v>
      </c>
      <c r="G231" s="96"/>
      <c r="H231" s="96" t="s">
        <v>1149</v>
      </c>
      <c r="I231" s="100" t="s">
        <v>161</v>
      </c>
      <c r="J231" s="100" t="s">
        <v>354</v>
      </c>
      <c r="K231" s="101"/>
      <c r="L231" s="101">
        <f>SUMIF($I$5:$I$331,J231,$L$5:$L$331)</f>
        <v>288254860</v>
      </c>
      <c r="M231" s="99" t="str">
        <f>VLOOKUP(I231,SDDK!$C$6:$D$201,2,0)</f>
        <v>Thuế GTGT đầu ra hoạt động kinh doanh</v>
      </c>
      <c r="N231" s="99" t="str">
        <f>VLOOKUP(J231,SDDK!$C$6:$D$201,2,0)</f>
        <v>Thuế GTGT được khấu trừ của hàng hóa, dịch vụ</v>
      </c>
    </row>
    <row r="232" spans="1:14" ht="12.75">
      <c r="A232" s="95" t="str">
        <f t="shared" si="4"/>
        <v>30/10/2020</v>
      </c>
      <c r="B232" s="97"/>
      <c r="C232" s="97"/>
      <c r="D232" s="96" t="s">
        <v>568</v>
      </c>
      <c r="E232" s="96" t="s">
        <v>671</v>
      </c>
      <c r="F232" s="98" t="s">
        <v>975</v>
      </c>
      <c r="G232" s="96"/>
      <c r="H232" s="96" t="s">
        <v>1150</v>
      </c>
      <c r="I232" s="100" t="s">
        <v>161</v>
      </c>
      <c r="J232" s="100" t="s">
        <v>356</v>
      </c>
      <c r="K232" s="101"/>
      <c r="L232" s="101">
        <f>SUMIF($I$5:$I$331,J232,$L$5:$L$331)</f>
        <v>3500000</v>
      </c>
      <c r="M232" s="99" t="str">
        <f>VLOOKUP(I232,SDDK!$C$6:$D$201,2,0)</f>
        <v>Thuế GTGT đầu ra hoạt động kinh doanh</v>
      </c>
      <c r="N232" s="99" t="str">
        <f>VLOOKUP(J232,SDDK!$C$6:$D$201,2,0)</f>
        <v>Thuế GTGT được khấu trừ của TSCĐ</v>
      </c>
    </row>
    <row r="233" spans="1:14" ht="12.75">
      <c r="A233" s="95" t="str">
        <f t="shared" si="4"/>
        <v>31/10/2020</v>
      </c>
      <c r="B233" s="97"/>
      <c r="C233" s="97"/>
      <c r="D233" s="96" t="s">
        <v>569</v>
      </c>
      <c r="E233" s="96" t="s">
        <v>671</v>
      </c>
      <c r="F233" s="98" t="s">
        <v>977</v>
      </c>
      <c r="G233" s="96" t="s">
        <v>964</v>
      </c>
      <c r="H233" s="96" t="s">
        <v>1151</v>
      </c>
      <c r="I233" s="100" t="s">
        <v>346</v>
      </c>
      <c r="J233" s="100" t="s">
        <v>353</v>
      </c>
      <c r="K233" s="101"/>
      <c r="L233" s="101">
        <v>20000000</v>
      </c>
      <c r="M233" s="99" t="str">
        <f>VLOOKUP(I233,SDDK!$C$6:$D$201,2,0)</f>
        <v>Phải thu ngắn hạn Công ty CP Hoa Sen</v>
      </c>
      <c r="N233" s="99" t="str">
        <f>VLOOKUP(J233,SDDK!$C$6:$D$201,2,0)</f>
        <v>Phải thu dài hạn Công ty CP Hoa Sen</v>
      </c>
    </row>
    <row r="234" spans="1:14" ht="12.75">
      <c r="A234" s="95" t="str">
        <f t="shared" si="4"/>
        <v>31/10/2020</v>
      </c>
      <c r="B234" s="97"/>
      <c r="C234" s="97"/>
      <c r="D234" s="96" t="s">
        <v>569</v>
      </c>
      <c r="E234" s="96" t="s">
        <v>671</v>
      </c>
      <c r="F234" s="98" t="s">
        <v>977</v>
      </c>
      <c r="G234" s="96" t="s">
        <v>750</v>
      </c>
      <c r="H234" s="96" t="s">
        <v>1152</v>
      </c>
      <c r="I234" s="100" t="s">
        <v>424</v>
      </c>
      <c r="J234" s="100" t="s">
        <v>410</v>
      </c>
      <c r="K234" s="101"/>
      <c r="L234" s="101">
        <v>10000000</v>
      </c>
      <c r="M234" s="99" t="str">
        <f>VLOOKUP(I234,SDDK!$C$6:$D$201,2,0)</f>
        <v>Phải trả dài hạn Công ty TNHH Khanh Hòa</v>
      </c>
      <c r="N234" s="99" t="str">
        <f>VLOOKUP(J234,SDDK!$C$6:$D$201,2,0)</f>
        <v>Phải trả ngắn hạn Công ty TNHH Khanh Hòa</v>
      </c>
    </row>
    <row r="235" spans="1:14" ht="12.75">
      <c r="A235" s="95" t="str">
        <f t="shared" si="4"/>
        <v>30/10/2020</v>
      </c>
      <c r="B235" s="96"/>
      <c r="C235" s="97"/>
      <c r="D235" s="96" t="s">
        <v>570</v>
      </c>
      <c r="E235" s="96" t="s">
        <v>702</v>
      </c>
      <c r="F235" s="98" t="s">
        <v>975</v>
      </c>
      <c r="G235" s="96"/>
      <c r="H235" s="96" t="s">
        <v>1153</v>
      </c>
      <c r="I235" s="100" t="s">
        <v>30</v>
      </c>
      <c r="J235" s="100" t="s">
        <v>735</v>
      </c>
      <c r="K235" s="101"/>
      <c r="L235" s="104">
        <v>56296666.666666664</v>
      </c>
      <c r="M235" s="99" t="str">
        <f>VLOOKUP(I235,SDDK!$C$6:$D$201,2,0)</f>
        <v>Chi phí NC trực tiếp cho Vải thun coton</v>
      </c>
      <c r="N235" s="99" t="str">
        <f>VLOOKUP(J235,SDDK!$C$6:$D$201,2,0)</f>
        <v>Phải trả công nhân viên</v>
      </c>
    </row>
    <row r="236" spans="1:14" ht="12.75">
      <c r="A236" s="95" t="str">
        <f t="shared" si="4"/>
        <v>30/10/2020</v>
      </c>
      <c r="B236" s="96"/>
      <c r="C236" s="97"/>
      <c r="D236" s="96" t="s">
        <v>570</v>
      </c>
      <c r="E236" s="96" t="s">
        <v>702</v>
      </c>
      <c r="F236" s="98" t="s">
        <v>975</v>
      </c>
      <c r="G236" s="96"/>
      <c r="H236" s="96" t="s">
        <v>1153</v>
      </c>
      <c r="I236" s="100" t="s">
        <v>31</v>
      </c>
      <c r="J236" s="100" t="s">
        <v>735</v>
      </c>
      <c r="K236" s="101"/>
      <c r="L236" s="104">
        <v>74864444.44444445</v>
      </c>
      <c r="M236" s="99" t="str">
        <f>VLOOKUP(I236,SDDK!$C$6:$D$201,2,0)</f>
        <v>Chi phí NC trực tiếp cho Thảm lót chân</v>
      </c>
      <c r="N236" s="99" t="str">
        <f>VLOOKUP(J236,SDDK!$C$6:$D$201,2,0)</f>
        <v>Phải trả công nhân viên</v>
      </c>
    </row>
    <row r="237" spans="1:14" ht="12.75">
      <c r="A237" s="95" t="str">
        <f t="shared" si="4"/>
        <v>30/10/2020</v>
      </c>
      <c r="B237" s="96"/>
      <c r="C237" s="97"/>
      <c r="D237" s="96" t="s">
        <v>570</v>
      </c>
      <c r="E237" s="96" t="s">
        <v>702</v>
      </c>
      <c r="F237" s="98" t="s">
        <v>975</v>
      </c>
      <c r="G237" s="96"/>
      <c r="H237" s="96" t="s">
        <v>1153</v>
      </c>
      <c r="I237" s="100" t="s">
        <v>33</v>
      </c>
      <c r="J237" s="100" t="s">
        <v>735</v>
      </c>
      <c r="K237" s="101"/>
      <c r="L237" s="104">
        <v>27066666.666666664</v>
      </c>
      <c r="M237" s="99" t="str">
        <f>VLOOKUP(I237,SDDK!$C$6:$D$201,2,0)</f>
        <v>Chi phí NC trực tiếp cho Dịch vụ sửa chữa</v>
      </c>
      <c r="N237" s="99" t="str">
        <f>VLOOKUP(J237,SDDK!$C$6:$D$201,2,0)</f>
        <v>Phải trả công nhân viên</v>
      </c>
    </row>
    <row r="238" spans="1:14" ht="12.75">
      <c r="A238" s="95" t="str">
        <f t="shared" si="4"/>
        <v>30/10/2020</v>
      </c>
      <c r="B238" s="96"/>
      <c r="C238" s="97"/>
      <c r="D238" s="96" t="s">
        <v>570</v>
      </c>
      <c r="E238" s="96" t="s">
        <v>702</v>
      </c>
      <c r="F238" s="98" t="s">
        <v>975</v>
      </c>
      <c r="G238" s="96"/>
      <c r="H238" s="96" t="s">
        <v>1153</v>
      </c>
      <c r="I238" s="100" t="s">
        <v>34</v>
      </c>
      <c r="J238" s="100" t="s">
        <v>735</v>
      </c>
      <c r="K238" s="101"/>
      <c r="L238" s="104">
        <v>21730000</v>
      </c>
      <c r="M238" s="99" t="str">
        <f>VLOOKUP(I238,SDDK!$C$6:$D$201,2,0)</f>
        <v>Chi phí nhân viên PX1</v>
      </c>
      <c r="N238" s="99" t="str">
        <f>VLOOKUP(J238,SDDK!$C$6:$D$201,2,0)</f>
        <v>Phải trả công nhân viên</v>
      </c>
    </row>
    <row r="239" spans="1:14" ht="12.75">
      <c r="A239" s="95" t="str">
        <f t="shared" si="4"/>
        <v>30/10/2020</v>
      </c>
      <c r="B239" s="96"/>
      <c r="C239" s="97"/>
      <c r="D239" s="96" t="s">
        <v>570</v>
      </c>
      <c r="E239" s="96" t="s">
        <v>702</v>
      </c>
      <c r="F239" s="98" t="s">
        <v>975</v>
      </c>
      <c r="G239" s="96"/>
      <c r="H239" s="96" t="s">
        <v>1153</v>
      </c>
      <c r="I239" s="100" t="s">
        <v>36</v>
      </c>
      <c r="J239" s="100" t="s">
        <v>735</v>
      </c>
      <c r="K239" s="101"/>
      <c r="L239" s="104">
        <v>20530000</v>
      </c>
      <c r="M239" s="99" t="str">
        <f>VLOOKUP(I239,SDDK!$C$6:$D$201,2,0)</f>
        <v>Chi phí nhân viên PX2</v>
      </c>
      <c r="N239" s="99" t="str">
        <f>VLOOKUP(J239,SDDK!$C$6:$D$201,2,0)</f>
        <v>Phải trả công nhân viên</v>
      </c>
    </row>
    <row r="240" spans="1:14" ht="12.75">
      <c r="A240" s="95" t="str">
        <f t="shared" si="4"/>
        <v>30/10/2020</v>
      </c>
      <c r="B240" s="96"/>
      <c r="C240" s="97"/>
      <c r="D240" s="96" t="s">
        <v>570</v>
      </c>
      <c r="E240" s="96" t="s">
        <v>702</v>
      </c>
      <c r="F240" s="98" t="s">
        <v>975</v>
      </c>
      <c r="G240" s="96"/>
      <c r="H240" s="96" t="s">
        <v>1153</v>
      </c>
      <c r="I240" s="100" t="s">
        <v>68</v>
      </c>
      <c r="J240" s="100" t="s">
        <v>735</v>
      </c>
      <c r="K240" s="101"/>
      <c r="L240" s="104">
        <v>39659074.074074075</v>
      </c>
      <c r="M240" s="99" t="str">
        <f>VLOOKUP(I240,SDDK!$C$6:$D$201,2,0)</f>
        <v>Chi phí nhân viên bán hàng</v>
      </c>
      <c r="N240" s="99" t="str">
        <f>VLOOKUP(J240,SDDK!$C$6:$D$201,2,0)</f>
        <v>Phải trả công nhân viên</v>
      </c>
    </row>
    <row r="241" spans="1:14" ht="12.75">
      <c r="A241" s="95" t="str">
        <f t="shared" si="4"/>
        <v>30/10/2020</v>
      </c>
      <c r="B241" s="96"/>
      <c r="C241" s="97"/>
      <c r="D241" s="96" t="s">
        <v>570</v>
      </c>
      <c r="E241" s="96" t="s">
        <v>702</v>
      </c>
      <c r="F241" s="98" t="s">
        <v>975</v>
      </c>
      <c r="G241" s="96"/>
      <c r="H241" s="96" t="s">
        <v>1153</v>
      </c>
      <c r="I241" s="100" t="s">
        <v>82</v>
      </c>
      <c r="J241" s="100" t="s">
        <v>735</v>
      </c>
      <c r="K241" s="101"/>
      <c r="L241" s="104">
        <v>92193888.8888889</v>
      </c>
      <c r="M241" s="99" t="str">
        <f>VLOOKUP(I241,SDDK!$C$6:$D$201,2,0)</f>
        <v>Chi phí quản lý doanh nghiệp</v>
      </c>
      <c r="N241" s="99" t="str">
        <f>VLOOKUP(J241,SDDK!$C$6:$D$201,2,0)</f>
        <v>Phải trả công nhân viên</v>
      </c>
    </row>
    <row r="242" spans="1:14" ht="12.75">
      <c r="A242" s="95" t="str">
        <f t="shared" si="4"/>
        <v>30/10/2020</v>
      </c>
      <c r="B242" s="96"/>
      <c r="C242" s="97"/>
      <c r="D242" s="96" t="s">
        <v>571</v>
      </c>
      <c r="E242" s="96" t="s">
        <v>884</v>
      </c>
      <c r="F242" s="98" t="s">
        <v>975</v>
      </c>
      <c r="G242" s="96"/>
      <c r="H242" s="96" t="s">
        <v>1154</v>
      </c>
      <c r="I242" s="100" t="s">
        <v>174</v>
      </c>
      <c r="J242" s="100" t="s">
        <v>735</v>
      </c>
      <c r="K242" s="101"/>
      <c r="L242" s="104">
        <v>5000000</v>
      </c>
      <c r="M242" s="99" t="str">
        <f>VLOOKUP(I242,SDDK!$C$6:$D$201,2,0)</f>
        <v>Bảo hiễm xã hội</v>
      </c>
      <c r="N242" s="99" t="str">
        <f>VLOOKUP(J242,SDDK!$C$6:$D$201,2,0)</f>
        <v>Phải trả công nhân viên</v>
      </c>
    </row>
    <row r="243" spans="1:14" ht="12.75">
      <c r="A243" s="95" t="str">
        <f t="shared" si="4"/>
        <v>30/10/2020</v>
      </c>
      <c r="B243" s="96"/>
      <c r="C243" s="97"/>
      <c r="D243" s="96" t="s">
        <v>572</v>
      </c>
      <c r="E243" s="96" t="s">
        <v>885</v>
      </c>
      <c r="F243" s="98" t="s">
        <v>975</v>
      </c>
      <c r="G243" s="96"/>
      <c r="H243" s="96" t="s">
        <v>1155</v>
      </c>
      <c r="I243" s="100" t="s">
        <v>180</v>
      </c>
      <c r="J243" s="100" t="s">
        <v>735</v>
      </c>
      <c r="K243" s="101"/>
      <c r="L243" s="104">
        <v>14000000</v>
      </c>
      <c r="M243" s="99" t="str">
        <f>VLOOKUP(I243,SDDK!$C$6:$D$201,2,0)</f>
        <v>Quỹ khen thưởng</v>
      </c>
      <c r="N243" s="99" t="str">
        <f>VLOOKUP(J243,SDDK!$C$6:$D$201,2,0)</f>
        <v>Phải trả công nhân viên</v>
      </c>
    </row>
    <row r="244" spans="1:14" ht="12.75">
      <c r="A244" s="95" t="str">
        <f t="shared" si="4"/>
        <v>30/10/2020</v>
      </c>
      <c r="B244" s="96"/>
      <c r="C244" s="97"/>
      <c r="D244" s="96" t="s">
        <v>573</v>
      </c>
      <c r="E244" s="96" t="s">
        <v>690</v>
      </c>
      <c r="F244" s="98" t="s">
        <v>975</v>
      </c>
      <c r="G244" s="96"/>
      <c r="H244" s="96" t="s">
        <v>1156</v>
      </c>
      <c r="I244" s="100" t="s">
        <v>30</v>
      </c>
      <c r="J244" s="100" t="s">
        <v>172</v>
      </c>
      <c r="K244" s="101"/>
      <c r="L244" s="104">
        <v>1002000</v>
      </c>
      <c r="M244" s="99" t="str">
        <f>VLOOKUP(I244,SDDK!$C$6:$D$201,2,0)</f>
        <v>Chi phí NC trực tiếp cho Vải thun coton</v>
      </c>
      <c r="N244" s="99" t="str">
        <f>VLOOKUP(J244,SDDK!$C$6:$D$201,2,0)</f>
        <v>Kinh phí công đoàn</v>
      </c>
    </row>
    <row r="245" spans="1:14" ht="12.75">
      <c r="A245" s="95" t="str">
        <f t="shared" si="4"/>
        <v>30/10/2020</v>
      </c>
      <c r="B245" s="96"/>
      <c r="C245" s="97"/>
      <c r="D245" s="96" t="s">
        <v>574</v>
      </c>
      <c r="E245" s="96" t="s">
        <v>690</v>
      </c>
      <c r="F245" s="98" t="s">
        <v>975</v>
      </c>
      <c r="G245" s="96"/>
      <c r="H245" s="96" t="s">
        <v>1157</v>
      </c>
      <c r="I245" s="100" t="s">
        <v>31</v>
      </c>
      <c r="J245" s="100" t="s">
        <v>172</v>
      </c>
      <c r="K245" s="101"/>
      <c r="L245" s="104">
        <v>1336000</v>
      </c>
      <c r="M245" s="99" t="str">
        <f>VLOOKUP(I245,SDDK!$C$6:$D$201,2,0)</f>
        <v>Chi phí NC trực tiếp cho Thảm lót chân</v>
      </c>
      <c r="N245" s="99" t="str">
        <f>VLOOKUP(J245,SDDK!$C$6:$D$201,2,0)</f>
        <v>Kinh phí công đoàn</v>
      </c>
    </row>
    <row r="246" spans="1:14" ht="12.75">
      <c r="A246" s="95" t="str">
        <f t="shared" si="4"/>
        <v>30/10/2020</v>
      </c>
      <c r="B246" s="96"/>
      <c r="C246" s="97"/>
      <c r="D246" s="96" t="s">
        <v>575</v>
      </c>
      <c r="E246" s="96" t="s">
        <v>690</v>
      </c>
      <c r="F246" s="98" t="s">
        <v>975</v>
      </c>
      <c r="G246" s="96"/>
      <c r="H246" s="96" t="s">
        <v>1158</v>
      </c>
      <c r="I246" s="100" t="s">
        <v>33</v>
      </c>
      <c r="J246" s="100" t="s">
        <v>172</v>
      </c>
      <c r="K246" s="101"/>
      <c r="L246" s="104">
        <v>494000</v>
      </c>
      <c r="M246" s="99" t="str">
        <f>VLOOKUP(I246,SDDK!$C$6:$D$201,2,0)</f>
        <v>Chi phí NC trực tiếp cho Dịch vụ sửa chữa</v>
      </c>
      <c r="N246" s="99" t="str">
        <f>VLOOKUP(J246,SDDK!$C$6:$D$201,2,0)</f>
        <v>Kinh phí công đoàn</v>
      </c>
    </row>
    <row r="247" spans="1:14" ht="12.75">
      <c r="A247" s="95" t="str">
        <f t="shared" si="4"/>
        <v>30/10/2020</v>
      </c>
      <c r="B247" s="96"/>
      <c r="C247" s="97"/>
      <c r="D247" s="96" t="s">
        <v>576</v>
      </c>
      <c r="E247" s="96" t="s">
        <v>690</v>
      </c>
      <c r="F247" s="98" t="s">
        <v>975</v>
      </c>
      <c r="G247" s="96"/>
      <c r="H247" s="96" t="s">
        <v>1159</v>
      </c>
      <c r="I247" s="100" t="s">
        <v>34</v>
      </c>
      <c r="J247" s="100" t="s">
        <v>172</v>
      </c>
      <c r="K247" s="101"/>
      <c r="L247" s="104">
        <v>336000</v>
      </c>
      <c r="M247" s="99" t="str">
        <f>VLOOKUP(I247,SDDK!$C$6:$D$201,2,0)</f>
        <v>Chi phí nhân viên PX1</v>
      </c>
      <c r="N247" s="99" t="str">
        <f>VLOOKUP(J247,SDDK!$C$6:$D$201,2,0)</f>
        <v>Kinh phí công đoàn</v>
      </c>
    </row>
    <row r="248" spans="1:14" ht="12.75">
      <c r="A248" s="95" t="str">
        <f t="shared" si="4"/>
        <v>30/10/2020</v>
      </c>
      <c r="B248" s="96"/>
      <c r="C248" s="97"/>
      <c r="D248" s="96" t="s">
        <v>577</v>
      </c>
      <c r="E248" s="96" t="s">
        <v>690</v>
      </c>
      <c r="F248" s="98" t="s">
        <v>975</v>
      </c>
      <c r="G248" s="96"/>
      <c r="H248" s="96" t="s">
        <v>1160</v>
      </c>
      <c r="I248" s="100" t="s">
        <v>36</v>
      </c>
      <c r="J248" s="100" t="s">
        <v>172</v>
      </c>
      <c r="K248" s="101"/>
      <c r="L248" s="104">
        <v>330000</v>
      </c>
      <c r="M248" s="99" t="str">
        <f>VLOOKUP(I248,SDDK!$C$6:$D$201,2,0)</f>
        <v>Chi phí nhân viên PX2</v>
      </c>
      <c r="N248" s="99" t="str">
        <f>VLOOKUP(J248,SDDK!$C$6:$D$201,2,0)</f>
        <v>Kinh phí công đoàn</v>
      </c>
    </row>
    <row r="249" spans="1:14" ht="12.75">
      <c r="A249" s="95" t="str">
        <f t="shared" si="4"/>
        <v>30/10/2020</v>
      </c>
      <c r="B249" s="96"/>
      <c r="C249" s="97"/>
      <c r="D249" s="96" t="s">
        <v>578</v>
      </c>
      <c r="E249" s="96" t="s">
        <v>690</v>
      </c>
      <c r="F249" s="98" t="s">
        <v>975</v>
      </c>
      <c r="G249" s="96"/>
      <c r="H249" s="96" t="s">
        <v>1161</v>
      </c>
      <c r="I249" s="100" t="s">
        <v>68</v>
      </c>
      <c r="J249" s="100" t="s">
        <v>172</v>
      </c>
      <c r="K249" s="101"/>
      <c r="L249" s="104">
        <v>674000</v>
      </c>
      <c r="M249" s="99" t="str">
        <f>VLOOKUP(I249,SDDK!$C$6:$D$201,2,0)</f>
        <v>Chi phí nhân viên bán hàng</v>
      </c>
      <c r="N249" s="99" t="str">
        <f>VLOOKUP(J249,SDDK!$C$6:$D$201,2,0)</f>
        <v>Kinh phí công đoàn</v>
      </c>
    </row>
    <row r="250" spans="1:14" ht="12.75">
      <c r="A250" s="95" t="str">
        <f t="shared" si="4"/>
        <v>30/10/2020</v>
      </c>
      <c r="B250" s="96"/>
      <c r="C250" s="97"/>
      <c r="D250" s="96" t="s">
        <v>579</v>
      </c>
      <c r="E250" s="96" t="s">
        <v>690</v>
      </c>
      <c r="F250" s="98" t="s">
        <v>975</v>
      </c>
      <c r="G250" s="96"/>
      <c r="H250" s="96" t="s">
        <v>1162</v>
      </c>
      <c r="I250" s="100" t="s">
        <v>82</v>
      </c>
      <c r="J250" s="100" t="s">
        <v>172</v>
      </c>
      <c r="K250" s="101"/>
      <c r="L250" s="104">
        <v>1644000</v>
      </c>
      <c r="M250" s="99" t="str">
        <f>VLOOKUP(I250,SDDK!$C$6:$D$201,2,0)</f>
        <v>Chi phí quản lý doanh nghiệp</v>
      </c>
      <c r="N250" s="99" t="str">
        <f>VLOOKUP(J250,SDDK!$C$6:$D$201,2,0)</f>
        <v>Kinh phí công đoàn</v>
      </c>
    </row>
    <row r="251" spans="1:14" ht="12.75">
      <c r="A251" s="95" t="str">
        <f t="shared" si="4"/>
        <v>30/10/2020</v>
      </c>
      <c r="B251" s="96"/>
      <c r="C251" s="97"/>
      <c r="D251" s="96" t="s">
        <v>573</v>
      </c>
      <c r="E251" s="96" t="s">
        <v>690</v>
      </c>
      <c r="F251" s="98" t="s">
        <v>975</v>
      </c>
      <c r="G251" s="96"/>
      <c r="H251" s="96" t="s">
        <v>1163</v>
      </c>
      <c r="I251" s="100" t="s">
        <v>30</v>
      </c>
      <c r="J251" s="100" t="s">
        <v>174</v>
      </c>
      <c r="K251" s="101"/>
      <c r="L251" s="104">
        <v>8767500</v>
      </c>
      <c r="M251" s="99" t="str">
        <f>VLOOKUP(I251,SDDK!$C$6:$D$201,2,0)</f>
        <v>Chi phí NC trực tiếp cho Vải thun coton</v>
      </c>
      <c r="N251" s="99" t="str">
        <f>VLOOKUP(J251,SDDK!$C$6:$D$201,2,0)</f>
        <v>Bảo hiễm xã hội</v>
      </c>
    </row>
    <row r="252" spans="1:14" ht="12.75">
      <c r="A252" s="95" t="str">
        <f t="shared" si="4"/>
        <v>30/10/2020</v>
      </c>
      <c r="B252" s="96"/>
      <c r="C252" s="97"/>
      <c r="D252" s="96" t="s">
        <v>574</v>
      </c>
      <c r="E252" s="96" t="s">
        <v>690</v>
      </c>
      <c r="F252" s="98" t="s">
        <v>975</v>
      </c>
      <c r="G252" s="96"/>
      <c r="H252" s="96" t="s">
        <v>1164</v>
      </c>
      <c r="I252" s="100" t="s">
        <v>31</v>
      </c>
      <c r="J252" s="100" t="s">
        <v>174</v>
      </c>
      <c r="K252" s="101"/>
      <c r="L252" s="104">
        <v>11690000</v>
      </c>
      <c r="M252" s="99" t="str">
        <f>VLOOKUP(I252,SDDK!$C$6:$D$201,2,0)</f>
        <v>Chi phí NC trực tiếp cho Thảm lót chân</v>
      </c>
      <c r="N252" s="99" t="str">
        <f>VLOOKUP(J252,SDDK!$C$6:$D$201,2,0)</f>
        <v>Bảo hiễm xã hội</v>
      </c>
    </row>
    <row r="253" spans="1:14" ht="12.75">
      <c r="A253" s="95" t="str">
        <f t="shared" si="4"/>
        <v>30/10/2020</v>
      </c>
      <c r="B253" s="96"/>
      <c r="C253" s="97"/>
      <c r="D253" s="96" t="s">
        <v>575</v>
      </c>
      <c r="E253" s="96" t="s">
        <v>690</v>
      </c>
      <c r="F253" s="98" t="s">
        <v>975</v>
      </c>
      <c r="G253" s="96"/>
      <c r="H253" s="96" t="s">
        <v>1165</v>
      </c>
      <c r="I253" s="100" t="s">
        <v>33</v>
      </c>
      <c r="J253" s="100" t="s">
        <v>174</v>
      </c>
      <c r="K253" s="101"/>
      <c r="L253" s="104">
        <v>4322500</v>
      </c>
      <c r="M253" s="99" t="str">
        <f>VLOOKUP(I253,SDDK!$C$6:$D$201,2,0)</f>
        <v>Chi phí NC trực tiếp cho Dịch vụ sửa chữa</v>
      </c>
      <c r="N253" s="99" t="str">
        <f>VLOOKUP(J253,SDDK!$C$6:$D$201,2,0)</f>
        <v>Bảo hiễm xã hội</v>
      </c>
    </row>
    <row r="254" spans="1:14" ht="12.75">
      <c r="A254" s="95" t="str">
        <f t="shared" si="4"/>
        <v>30/10/2020</v>
      </c>
      <c r="B254" s="96"/>
      <c r="C254" s="97"/>
      <c r="D254" s="96" t="s">
        <v>576</v>
      </c>
      <c r="E254" s="96" t="s">
        <v>690</v>
      </c>
      <c r="F254" s="98" t="s">
        <v>975</v>
      </c>
      <c r="G254" s="96"/>
      <c r="H254" s="96" t="s">
        <v>1166</v>
      </c>
      <c r="I254" s="100" t="s">
        <v>34</v>
      </c>
      <c r="J254" s="100" t="s">
        <v>174</v>
      </c>
      <c r="K254" s="101"/>
      <c r="L254" s="104">
        <v>2940000</v>
      </c>
      <c r="M254" s="99" t="str">
        <f>VLOOKUP(I254,SDDK!$C$6:$D$201,2,0)</f>
        <v>Chi phí nhân viên PX1</v>
      </c>
      <c r="N254" s="99" t="str">
        <f>VLOOKUP(J254,SDDK!$C$6:$D$201,2,0)</f>
        <v>Bảo hiễm xã hội</v>
      </c>
    </row>
    <row r="255" spans="1:14" ht="12.75">
      <c r="A255" s="95" t="str">
        <f t="shared" si="4"/>
        <v>30/10/2020</v>
      </c>
      <c r="B255" s="96"/>
      <c r="C255" s="97"/>
      <c r="D255" s="96" t="s">
        <v>577</v>
      </c>
      <c r="E255" s="96" t="s">
        <v>690</v>
      </c>
      <c r="F255" s="98" t="s">
        <v>975</v>
      </c>
      <c r="G255" s="96"/>
      <c r="H255" s="96" t="s">
        <v>1167</v>
      </c>
      <c r="I255" s="100" t="s">
        <v>36</v>
      </c>
      <c r="J255" s="100" t="s">
        <v>174</v>
      </c>
      <c r="K255" s="101"/>
      <c r="L255" s="104">
        <v>2887500</v>
      </c>
      <c r="M255" s="99" t="str">
        <f>VLOOKUP(I255,SDDK!$C$6:$D$201,2,0)</f>
        <v>Chi phí nhân viên PX2</v>
      </c>
      <c r="N255" s="99" t="str">
        <f>VLOOKUP(J255,SDDK!$C$6:$D$201,2,0)</f>
        <v>Bảo hiễm xã hội</v>
      </c>
    </row>
    <row r="256" spans="1:14" ht="12.75">
      <c r="A256" s="95" t="str">
        <f t="shared" si="4"/>
        <v>30/10/2020</v>
      </c>
      <c r="B256" s="96"/>
      <c r="C256" s="97"/>
      <c r="D256" s="96" t="s">
        <v>578</v>
      </c>
      <c r="E256" s="96" t="s">
        <v>690</v>
      </c>
      <c r="F256" s="98" t="s">
        <v>975</v>
      </c>
      <c r="G256" s="96"/>
      <c r="H256" s="96" t="s">
        <v>1168</v>
      </c>
      <c r="I256" s="100" t="s">
        <v>68</v>
      </c>
      <c r="J256" s="100" t="s">
        <v>174</v>
      </c>
      <c r="K256" s="101"/>
      <c r="L256" s="104">
        <v>5897500</v>
      </c>
      <c r="M256" s="99" t="str">
        <f>VLOOKUP(I256,SDDK!$C$6:$D$201,2,0)</f>
        <v>Chi phí nhân viên bán hàng</v>
      </c>
      <c r="N256" s="99" t="str">
        <f>VLOOKUP(J256,SDDK!$C$6:$D$201,2,0)</f>
        <v>Bảo hiễm xã hội</v>
      </c>
    </row>
    <row r="257" spans="1:14" ht="12.75">
      <c r="A257" s="95" t="str">
        <f t="shared" si="4"/>
        <v>30/10/2020</v>
      </c>
      <c r="B257" s="96"/>
      <c r="C257" s="97"/>
      <c r="D257" s="96" t="s">
        <v>579</v>
      </c>
      <c r="E257" s="96" t="s">
        <v>690</v>
      </c>
      <c r="F257" s="98" t="s">
        <v>975</v>
      </c>
      <c r="G257" s="96"/>
      <c r="H257" s="96" t="s">
        <v>1169</v>
      </c>
      <c r="I257" s="100" t="s">
        <v>82</v>
      </c>
      <c r="J257" s="100" t="s">
        <v>174</v>
      </c>
      <c r="K257" s="101"/>
      <c r="L257" s="104">
        <v>14385000</v>
      </c>
      <c r="M257" s="99" t="str">
        <f>VLOOKUP(I257,SDDK!$C$6:$D$201,2,0)</f>
        <v>Chi phí quản lý doanh nghiệp</v>
      </c>
      <c r="N257" s="99" t="str">
        <f>VLOOKUP(J257,SDDK!$C$6:$D$201,2,0)</f>
        <v>Bảo hiễm xã hội</v>
      </c>
    </row>
    <row r="258" spans="1:14" ht="12.75">
      <c r="A258" s="95" t="str">
        <f t="shared" si="4"/>
        <v>30/10/2020</v>
      </c>
      <c r="B258" s="96"/>
      <c r="C258" s="97"/>
      <c r="D258" s="96" t="s">
        <v>573</v>
      </c>
      <c r="E258" s="96" t="s">
        <v>690</v>
      </c>
      <c r="F258" s="98" t="s">
        <v>975</v>
      </c>
      <c r="G258" s="96"/>
      <c r="H258" s="96" t="s">
        <v>1170</v>
      </c>
      <c r="I258" s="100" t="s">
        <v>30</v>
      </c>
      <c r="J258" s="100" t="s">
        <v>176</v>
      </c>
      <c r="K258" s="101"/>
      <c r="L258" s="104">
        <v>1503000</v>
      </c>
      <c r="M258" s="99" t="str">
        <f>VLOOKUP(I258,SDDK!$C$6:$D$201,2,0)</f>
        <v>Chi phí NC trực tiếp cho Vải thun coton</v>
      </c>
      <c r="N258" s="99" t="str">
        <f>VLOOKUP(J258,SDDK!$C$6:$D$201,2,0)</f>
        <v>Bảo hiễm y tế</v>
      </c>
    </row>
    <row r="259" spans="1:14" ht="12.75">
      <c r="A259" s="95" t="str">
        <f t="shared" si="4"/>
        <v>30/10/2020</v>
      </c>
      <c r="B259" s="96"/>
      <c r="C259" s="97"/>
      <c r="D259" s="96" t="s">
        <v>574</v>
      </c>
      <c r="E259" s="96" t="s">
        <v>690</v>
      </c>
      <c r="F259" s="98" t="s">
        <v>975</v>
      </c>
      <c r="G259" s="96"/>
      <c r="H259" s="96" t="s">
        <v>1171</v>
      </c>
      <c r="I259" s="100" t="s">
        <v>31</v>
      </c>
      <c r="J259" s="100" t="s">
        <v>176</v>
      </c>
      <c r="K259" s="101"/>
      <c r="L259" s="104">
        <v>2004000</v>
      </c>
      <c r="M259" s="99" t="str">
        <f>VLOOKUP(I259,SDDK!$C$6:$D$201,2,0)</f>
        <v>Chi phí NC trực tiếp cho Thảm lót chân</v>
      </c>
      <c r="N259" s="99" t="str">
        <f>VLOOKUP(J259,SDDK!$C$6:$D$201,2,0)</f>
        <v>Bảo hiễm y tế</v>
      </c>
    </row>
    <row r="260" spans="1:14" ht="12.75">
      <c r="A260" s="95" t="str">
        <f t="shared" si="4"/>
        <v>30/10/2020</v>
      </c>
      <c r="B260" s="96"/>
      <c r="C260" s="97"/>
      <c r="D260" s="96" t="s">
        <v>575</v>
      </c>
      <c r="E260" s="96" t="s">
        <v>690</v>
      </c>
      <c r="F260" s="98" t="s">
        <v>975</v>
      </c>
      <c r="G260" s="96"/>
      <c r="H260" s="96" t="s">
        <v>1172</v>
      </c>
      <c r="I260" s="100" t="s">
        <v>33</v>
      </c>
      <c r="J260" s="100" t="s">
        <v>176</v>
      </c>
      <c r="K260" s="101"/>
      <c r="L260" s="104">
        <v>741000</v>
      </c>
      <c r="M260" s="99" t="str">
        <f>VLOOKUP(I260,SDDK!$C$6:$D$201,2,0)</f>
        <v>Chi phí NC trực tiếp cho Dịch vụ sửa chữa</v>
      </c>
      <c r="N260" s="99" t="str">
        <f>VLOOKUP(J260,SDDK!$C$6:$D$201,2,0)</f>
        <v>Bảo hiễm y tế</v>
      </c>
    </row>
    <row r="261" spans="1:14" ht="12.75">
      <c r="A261" s="95" t="str">
        <f t="shared" si="4"/>
        <v>30/10/2020</v>
      </c>
      <c r="B261" s="96"/>
      <c r="C261" s="97"/>
      <c r="D261" s="96" t="s">
        <v>576</v>
      </c>
      <c r="E261" s="96" t="s">
        <v>690</v>
      </c>
      <c r="F261" s="98" t="s">
        <v>975</v>
      </c>
      <c r="G261" s="96"/>
      <c r="H261" s="96" t="s">
        <v>1173</v>
      </c>
      <c r="I261" s="100" t="s">
        <v>34</v>
      </c>
      <c r="J261" s="100" t="s">
        <v>176</v>
      </c>
      <c r="K261" s="101"/>
      <c r="L261" s="104">
        <v>504000</v>
      </c>
      <c r="M261" s="99" t="str">
        <f>VLOOKUP(I261,SDDK!$C$6:$D$201,2,0)</f>
        <v>Chi phí nhân viên PX1</v>
      </c>
      <c r="N261" s="99" t="str">
        <f>VLOOKUP(J261,SDDK!$C$6:$D$201,2,0)</f>
        <v>Bảo hiễm y tế</v>
      </c>
    </row>
    <row r="262" spans="1:14" ht="12.75">
      <c r="A262" s="95" t="str">
        <f aca="true" t="shared" si="5" ref="A262:A325">F262</f>
        <v>30/10/2020</v>
      </c>
      <c r="B262" s="96"/>
      <c r="C262" s="97"/>
      <c r="D262" s="96" t="s">
        <v>577</v>
      </c>
      <c r="E262" s="96" t="s">
        <v>690</v>
      </c>
      <c r="F262" s="98" t="s">
        <v>975</v>
      </c>
      <c r="G262" s="96"/>
      <c r="H262" s="96" t="s">
        <v>1174</v>
      </c>
      <c r="I262" s="100" t="s">
        <v>36</v>
      </c>
      <c r="J262" s="100" t="s">
        <v>176</v>
      </c>
      <c r="K262" s="101"/>
      <c r="L262" s="104">
        <v>495000</v>
      </c>
      <c r="M262" s="99" t="str">
        <f>VLOOKUP(I262,SDDK!$C$6:$D$201,2,0)</f>
        <v>Chi phí nhân viên PX2</v>
      </c>
      <c r="N262" s="99" t="str">
        <f>VLOOKUP(J262,SDDK!$C$6:$D$201,2,0)</f>
        <v>Bảo hiễm y tế</v>
      </c>
    </row>
    <row r="263" spans="1:14" ht="12.75">
      <c r="A263" s="95" t="str">
        <f t="shared" si="5"/>
        <v>30/10/2020</v>
      </c>
      <c r="B263" s="96"/>
      <c r="C263" s="97"/>
      <c r="D263" s="96" t="s">
        <v>578</v>
      </c>
      <c r="E263" s="96" t="s">
        <v>690</v>
      </c>
      <c r="F263" s="98" t="s">
        <v>975</v>
      </c>
      <c r="G263" s="96"/>
      <c r="H263" s="96" t="s">
        <v>1175</v>
      </c>
      <c r="I263" s="100" t="s">
        <v>68</v>
      </c>
      <c r="J263" s="100" t="s">
        <v>176</v>
      </c>
      <c r="K263" s="101"/>
      <c r="L263" s="104">
        <v>1011000</v>
      </c>
      <c r="M263" s="99" t="str">
        <f>VLOOKUP(I263,SDDK!$C$6:$D$201,2,0)</f>
        <v>Chi phí nhân viên bán hàng</v>
      </c>
      <c r="N263" s="99" t="str">
        <f>VLOOKUP(J263,SDDK!$C$6:$D$201,2,0)</f>
        <v>Bảo hiễm y tế</v>
      </c>
    </row>
    <row r="264" spans="1:14" ht="12.75">
      <c r="A264" s="95" t="str">
        <f t="shared" si="5"/>
        <v>30/10/2020</v>
      </c>
      <c r="B264" s="96"/>
      <c r="C264" s="97"/>
      <c r="D264" s="96" t="s">
        <v>579</v>
      </c>
      <c r="E264" s="96" t="s">
        <v>690</v>
      </c>
      <c r="F264" s="98" t="s">
        <v>975</v>
      </c>
      <c r="G264" s="96"/>
      <c r="H264" s="96" t="s">
        <v>1176</v>
      </c>
      <c r="I264" s="100" t="s">
        <v>82</v>
      </c>
      <c r="J264" s="100" t="s">
        <v>176</v>
      </c>
      <c r="K264" s="101"/>
      <c r="L264" s="104">
        <v>2466000</v>
      </c>
      <c r="M264" s="99" t="str">
        <f>VLOOKUP(I264,SDDK!$C$6:$D$201,2,0)</f>
        <v>Chi phí quản lý doanh nghiệp</v>
      </c>
      <c r="N264" s="99" t="str">
        <f>VLOOKUP(J264,SDDK!$C$6:$D$201,2,0)</f>
        <v>Bảo hiễm y tế</v>
      </c>
    </row>
    <row r="265" spans="1:14" ht="12.75">
      <c r="A265" s="95" t="str">
        <f t="shared" si="5"/>
        <v>30/10/2020</v>
      </c>
      <c r="B265" s="96"/>
      <c r="C265" s="97"/>
      <c r="D265" s="96" t="s">
        <v>573</v>
      </c>
      <c r="E265" s="96" t="s">
        <v>690</v>
      </c>
      <c r="F265" s="98" t="s">
        <v>975</v>
      </c>
      <c r="G265" s="96"/>
      <c r="H265" s="96" t="s">
        <v>1177</v>
      </c>
      <c r="I265" s="100" t="s">
        <v>30</v>
      </c>
      <c r="J265" s="100" t="s">
        <v>736</v>
      </c>
      <c r="K265" s="101"/>
      <c r="L265" s="104">
        <v>501000</v>
      </c>
      <c r="M265" s="99" t="str">
        <f>VLOOKUP(I265,SDDK!$C$6:$D$201,2,0)</f>
        <v>Chi phí NC trực tiếp cho Vải thun coton</v>
      </c>
      <c r="N265" s="99" t="str">
        <f>VLOOKUP(J265,SDDK!$C$6:$D$201,2,0)</f>
        <v>Bảo hiễm thất nghiệp</v>
      </c>
    </row>
    <row r="266" spans="1:14" ht="12.75">
      <c r="A266" s="95" t="str">
        <f t="shared" si="5"/>
        <v>30/10/2020</v>
      </c>
      <c r="B266" s="96"/>
      <c r="C266" s="97"/>
      <c r="D266" s="96" t="s">
        <v>574</v>
      </c>
      <c r="E266" s="96" t="s">
        <v>690</v>
      </c>
      <c r="F266" s="98" t="s">
        <v>975</v>
      </c>
      <c r="G266" s="96"/>
      <c r="H266" s="96" t="s">
        <v>1178</v>
      </c>
      <c r="I266" s="100" t="s">
        <v>31</v>
      </c>
      <c r="J266" s="100" t="s">
        <v>736</v>
      </c>
      <c r="K266" s="101"/>
      <c r="L266" s="104">
        <v>668000</v>
      </c>
      <c r="M266" s="99" t="str">
        <f>VLOOKUP(I266,SDDK!$C$6:$D$201,2,0)</f>
        <v>Chi phí NC trực tiếp cho Thảm lót chân</v>
      </c>
      <c r="N266" s="99" t="str">
        <f>VLOOKUP(J266,SDDK!$C$6:$D$201,2,0)</f>
        <v>Bảo hiễm thất nghiệp</v>
      </c>
    </row>
    <row r="267" spans="1:14" ht="12.75">
      <c r="A267" s="95" t="str">
        <f t="shared" si="5"/>
        <v>30/10/2020</v>
      </c>
      <c r="B267" s="96"/>
      <c r="C267" s="97"/>
      <c r="D267" s="96" t="s">
        <v>575</v>
      </c>
      <c r="E267" s="96" t="s">
        <v>690</v>
      </c>
      <c r="F267" s="98" t="s">
        <v>975</v>
      </c>
      <c r="G267" s="96"/>
      <c r="H267" s="96" t="s">
        <v>1179</v>
      </c>
      <c r="I267" s="100" t="s">
        <v>33</v>
      </c>
      <c r="J267" s="100" t="s">
        <v>736</v>
      </c>
      <c r="K267" s="101"/>
      <c r="L267" s="104">
        <v>247000</v>
      </c>
      <c r="M267" s="99" t="str">
        <f>VLOOKUP(I267,SDDK!$C$6:$D$201,2,0)</f>
        <v>Chi phí NC trực tiếp cho Dịch vụ sửa chữa</v>
      </c>
      <c r="N267" s="99" t="str">
        <f>VLOOKUP(J267,SDDK!$C$6:$D$201,2,0)</f>
        <v>Bảo hiễm thất nghiệp</v>
      </c>
    </row>
    <row r="268" spans="1:14" ht="12.75">
      <c r="A268" s="95" t="str">
        <f t="shared" si="5"/>
        <v>30/10/2020</v>
      </c>
      <c r="B268" s="96"/>
      <c r="C268" s="97"/>
      <c r="D268" s="96" t="s">
        <v>576</v>
      </c>
      <c r="E268" s="96" t="s">
        <v>690</v>
      </c>
      <c r="F268" s="98" t="s">
        <v>975</v>
      </c>
      <c r="G268" s="96"/>
      <c r="H268" s="96" t="s">
        <v>1180</v>
      </c>
      <c r="I268" s="100" t="s">
        <v>34</v>
      </c>
      <c r="J268" s="100" t="s">
        <v>736</v>
      </c>
      <c r="K268" s="101"/>
      <c r="L268" s="104">
        <v>168000</v>
      </c>
      <c r="M268" s="99" t="str">
        <f>VLOOKUP(I268,SDDK!$C$6:$D$201,2,0)</f>
        <v>Chi phí nhân viên PX1</v>
      </c>
      <c r="N268" s="99" t="str">
        <f>VLOOKUP(J268,SDDK!$C$6:$D$201,2,0)</f>
        <v>Bảo hiễm thất nghiệp</v>
      </c>
    </row>
    <row r="269" spans="1:14" ht="12.75">
      <c r="A269" s="95" t="str">
        <f t="shared" si="5"/>
        <v>30/10/2020</v>
      </c>
      <c r="B269" s="96"/>
      <c r="C269" s="97"/>
      <c r="D269" s="96" t="s">
        <v>577</v>
      </c>
      <c r="E269" s="96" t="s">
        <v>690</v>
      </c>
      <c r="F269" s="98" t="s">
        <v>975</v>
      </c>
      <c r="G269" s="96"/>
      <c r="H269" s="96" t="s">
        <v>1181</v>
      </c>
      <c r="I269" s="100" t="s">
        <v>36</v>
      </c>
      <c r="J269" s="100" t="s">
        <v>736</v>
      </c>
      <c r="K269" s="101"/>
      <c r="L269" s="104">
        <v>165000</v>
      </c>
      <c r="M269" s="99" t="str">
        <f>VLOOKUP(I269,SDDK!$C$6:$D$201,2,0)</f>
        <v>Chi phí nhân viên PX2</v>
      </c>
      <c r="N269" s="99" t="str">
        <f>VLOOKUP(J269,SDDK!$C$6:$D$201,2,0)</f>
        <v>Bảo hiễm thất nghiệp</v>
      </c>
    </row>
    <row r="270" spans="1:14" ht="12.75">
      <c r="A270" s="95" t="str">
        <f t="shared" si="5"/>
        <v>30/10/2020</v>
      </c>
      <c r="B270" s="96"/>
      <c r="C270" s="97"/>
      <c r="D270" s="96" t="s">
        <v>578</v>
      </c>
      <c r="E270" s="96" t="s">
        <v>690</v>
      </c>
      <c r="F270" s="98" t="s">
        <v>975</v>
      </c>
      <c r="G270" s="96"/>
      <c r="H270" s="96" t="s">
        <v>1182</v>
      </c>
      <c r="I270" s="100" t="s">
        <v>68</v>
      </c>
      <c r="J270" s="100" t="s">
        <v>736</v>
      </c>
      <c r="K270" s="101"/>
      <c r="L270" s="104">
        <v>337000</v>
      </c>
      <c r="M270" s="99" t="str">
        <f>VLOOKUP(I270,SDDK!$C$6:$D$201,2,0)</f>
        <v>Chi phí nhân viên bán hàng</v>
      </c>
      <c r="N270" s="99" t="str">
        <f>VLOOKUP(J270,SDDK!$C$6:$D$201,2,0)</f>
        <v>Bảo hiễm thất nghiệp</v>
      </c>
    </row>
    <row r="271" spans="1:14" ht="12.75">
      <c r="A271" s="95" t="str">
        <f t="shared" si="5"/>
        <v>30/10/2020</v>
      </c>
      <c r="B271" s="96"/>
      <c r="C271" s="97"/>
      <c r="D271" s="96" t="s">
        <v>579</v>
      </c>
      <c r="E271" s="96" t="s">
        <v>690</v>
      </c>
      <c r="F271" s="98" t="s">
        <v>975</v>
      </c>
      <c r="G271" s="96"/>
      <c r="H271" s="96" t="s">
        <v>1183</v>
      </c>
      <c r="I271" s="100" t="s">
        <v>82</v>
      </c>
      <c r="J271" s="100" t="s">
        <v>736</v>
      </c>
      <c r="K271" s="101"/>
      <c r="L271" s="104">
        <v>822000</v>
      </c>
      <c r="M271" s="99" t="str">
        <f>VLOOKUP(I271,SDDK!$C$6:$D$201,2,0)</f>
        <v>Chi phí quản lý doanh nghiệp</v>
      </c>
      <c r="N271" s="99" t="str">
        <f>VLOOKUP(J271,SDDK!$C$6:$D$201,2,0)</f>
        <v>Bảo hiễm thất nghiệp</v>
      </c>
    </row>
    <row r="272" spans="1:14" ht="12.75">
      <c r="A272" s="95" t="str">
        <f t="shared" si="5"/>
        <v>30/10/2020</v>
      </c>
      <c r="B272" s="96"/>
      <c r="C272" s="97"/>
      <c r="D272" s="96" t="s">
        <v>579</v>
      </c>
      <c r="E272" s="96" t="s">
        <v>690</v>
      </c>
      <c r="F272" s="98" t="s">
        <v>975</v>
      </c>
      <c r="G272" s="96"/>
      <c r="H272" s="96" t="s">
        <v>1184</v>
      </c>
      <c r="I272" s="100" t="s">
        <v>735</v>
      </c>
      <c r="J272" s="100" t="s">
        <v>174</v>
      </c>
      <c r="K272" s="101"/>
      <c r="L272" s="104">
        <v>23264000</v>
      </c>
      <c r="M272" s="99" t="str">
        <f>VLOOKUP(I272,SDDK!$C$6:$D$201,2,0)</f>
        <v>Phải trả công nhân viên</v>
      </c>
      <c r="N272" s="99" t="str">
        <f>VLOOKUP(J272,SDDK!$C$6:$D$201,2,0)</f>
        <v>Bảo hiễm xã hội</v>
      </c>
    </row>
    <row r="273" spans="1:14" ht="12.75">
      <c r="A273" s="95" t="str">
        <f t="shared" si="5"/>
        <v>30/10/2020</v>
      </c>
      <c r="B273" s="96"/>
      <c r="C273" s="97"/>
      <c r="D273" s="96" t="s">
        <v>579</v>
      </c>
      <c r="E273" s="96" t="s">
        <v>690</v>
      </c>
      <c r="F273" s="98" t="s">
        <v>975</v>
      </c>
      <c r="G273" s="96"/>
      <c r="H273" s="160" t="s">
        <v>1185</v>
      </c>
      <c r="I273" s="105" t="s">
        <v>735</v>
      </c>
      <c r="J273" s="105" t="s">
        <v>176</v>
      </c>
      <c r="K273" s="104"/>
      <c r="L273" s="104">
        <v>4362000</v>
      </c>
      <c r="M273" s="99" t="str">
        <f>VLOOKUP(I273,SDDK!$C$6:$D$201,2,0)</f>
        <v>Phải trả công nhân viên</v>
      </c>
      <c r="N273" s="99" t="str">
        <f>VLOOKUP(J273,SDDK!$C$6:$D$201,2,0)</f>
        <v>Bảo hiễm y tế</v>
      </c>
    </row>
    <row r="274" spans="1:14" ht="12.75">
      <c r="A274" s="95" t="str">
        <f t="shared" si="5"/>
        <v>30/10/2020</v>
      </c>
      <c r="B274" s="96"/>
      <c r="C274" s="97"/>
      <c r="D274" s="96" t="s">
        <v>579</v>
      </c>
      <c r="E274" s="96" t="s">
        <v>690</v>
      </c>
      <c r="F274" s="98" t="s">
        <v>975</v>
      </c>
      <c r="G274" s="96"/>
      <c r="H274" s="160" t="s">
        <v>1186</v>
      </c>
      <c r="I274" s="105" t="s">
        <v>735</v>
      </c>
      <c r="J274" s="105" t="s">
        <v>736</v>
      </c>
      <c r="K274" s="104"/>
      <c r="L274" s="104">
        <v>2908000</v>
      </c>
      <c r="M274" s="99" t="str">
        <f>VLOOKUP(I274,SDDK!$C$6:$D$201,2,0)</f>
        <v>Phải trả công nhân viên</v>
      </c>
      <c r="N274" s="99" t="str">
        <f>VLOOKUP(J274,SDDK!$C$6:$D$201,2,0)</f>
        <v>Bảo hiễm thất nghiệp</v>
      </c>
    </row>
    <row r="275" spans="1:14" ht="12.75">
      <c r="A275" s="95" t="str">
        <f t="shared" si="5"/>
        <v>30/10/2020</v>
      </c>
      <c r="B275" s="96"/>
      <c r="C275" s="97"/>
      <c r="D275" s="96" t="s">
        <v>888</v>
      </c>
      <c r="E275" s="96" t="s">
        <v>702</v>
      </c>
      <c r="F275" s="98" t="s">
        <v>975</v>
      </c>
      <c r="G275" s="96"/>
      <c r="H275" s="160" t="s">
        <v>1187</v>
      </c>
      <c r="I275" s="105" t="s">
        <v>735</v>
      </c>
      <c r="J275" s="105" t="s">
        <v>438</v>
      </c>
      <c r="K275" s="104"/>
      <c r="L275" s="104">
        <v>4942253.703703703</v>
      </c>
      <c r="M275" s="99" t="str">
        <f>VLOOKUP(I275,SDDK!$C$6:$D$201,2,0)</f>
        <v>Phải trả công nhân viên</v>
      </c>
      <c r="N275" s="99" t="str">
        <f>VLOOKUP(J275,SDDK!$C$6:$D$201,2,0)</f>
        <v>Thuế thu nhập cá nhân</v>
      </c>
    </row>
    <row r="276" spans="1:14" s="111" customFormat="1" ht="12.75">
      <c r="A276" s="106" t="str">
        <f t="shared" si="5"/>
        <v>30/10/2020</v>
      </c>
      <c r="B276" s="107"/>
      <c r="C276" s="108"/>
      <c r="D276" s="107" t="s">
        <v>580</v>
      </c>
      <c r="E276" s="107" t="s">
        <v>703</v>
      </c>
      <c r="F276" s="98" t="s">
        <v>975</v>
      </c>
      <c r="G276" s="107"/>
      <c r="H276" s="161" t="s">
        <v>1188</v>
      </c>
      <c r="I276" s="109" t="s">
        <v>46</v>
      </c>
      <c r="J276" s="109" t="s">
        <v>393</v>
      </c>
      <c r="K276" s="110"/>
      <c r="L276" s="110">
        <v>16223387</v>
      </c>
      <c r="M276" s="99" t="str">
        <f>VLOOKUP(I276,SDDK!$C$6:$D$201,2,0)</f>
        <v>Chi phí khấu hao PX1</v>
      </c>
      <c r="N276" s="99" t="str">
        <f>VLOOKUP(J276,SDDK!$C$6:$D$201,2,0)</f>
        <v>Hao mòn TSCĐ hữu hình lũy kế (*)</v>
      </c>
    </row>
    <row r="277" spans="1:14" ht="12.75">
      <c r="A277" s="95" t="str">
        <f t="shared" si="5"/>
        <v>30/10/2020</v>
      </c>
      <c r="B277" s="96"/>
      <c r="C277" s="97"/>
      <c r="D277" s="107" t="s">
        <v>580</v>
      </c>
      <c r="E277" s="96" t="s">
        <v>703</v>
      </c>
      <c r="F277" s="98" t="s">
        <v>975</v>
      </c>
      <c r="G277" s="96"/>
      <c r="H277" s="160" t="s">
        <v>1188</v>
      </c>
      <c r="I277" s="105" t="s">
        <v>48</v>
      </c>
      <c r="J277" s="105" t="s">
        <v>393</v>
      </c>
      <c r="K277" s="104"/>
      <c r="L277" s="110">
        <v>11500000</v>
      </c>
      <c r="M277" s="99" t="str">
        <f>VLOOKUP(I277,SDDK!$C$6:$D$201,2,0)</f>
        <v>Chi phí khấu hao PX2</v>
      </c>
      <c r="N277" s="99" t="str">
        <f>VLOOKUP(J277,SDDK!$C$6:$D$201,2,0)</f>
        <v>Hao mòn TSCĐ hữu hình lũy kế (*)</v>
      </c>
    </row>
    <row r="278" spans="1:14" ht="12.75">
      <c r="A278" s="95" t="str">
        <f t="shared" si="5"/>
        <v>30/10/2020</v>
      </c>
      <c r="B278" s="96"/>
      <c r="C278" s="97"/>
      <c r="D278" s="107" t="s">
        <v>580</v>
      </c>
      <c r="E278" s="96" t="s">
        <v>703</v>
      </c>
      <c r="F278" s="98" t="s">
        <v>975</v>
      </c>
      <c r="G278" s="96"/>
      <c r="H278" s="160" t="s">
        <v>1188</v>
      </c>
      <c r="I278" s="105" t="s">
        <v>74</v>
      </c>
      <c r="J278" s="105" t="s">
        <v>393</v>
      </c>
      <c r="K278" s="104"/>
      <c r="L278" s="110">
        <v>2500000</v>
      </c>
      <c r="M278" s="99" t="str">
        <f>VLOOKUP(I278,SDDK!$C$6:$D$201,2,0)</f>
        <v>Chi phí khấu hao TSCĐ bán hàng</v>
      </c>
      <c r="N278" s="99" t="str">
        <f>VLOOKUP(J278,SDDK!$C$6:$D$201,2,0)</f>
        <v>Hao mòn TSCĐ hữu hình lũy kế (*)</v>
      </c>
    </row>
    <row r="279" spans="1:14" ht="12.75">
      <c r="A279" s="95" t="str">
        <f t="shared" si="5"/>
        <v>30/10/2020</v>
      </c>
      <c r="B279" s="96"/>
      <c r="C279" s="97"/>
      <c r="D279" s="107" t="s">
        <v>580</v>
      </c>
      <c r="E279" s="96" t="s">
        <v>703</v>
      </c>
      <c r="F279" s="98" t="s">
        <v>975</v>
      </c>
      <c r="G279" s="96"/>
      <c r="H279" s="160" t="s">
        <v>1188</v>
      </c>
      <c r="I279" s="105" t="s">
        <v>88</v>
      </c>
      <c r="J279" s="105" t="s">
        <v>393</v>
      </c>
      <c r="K279" s="104"/>
      <c r="L279" s="110">
        <v>7868299.666666667</v>
      </c>
      <c r="M279" s="99" t="str">
        <f>VLOOKUP(I279,SDDK!$C$6:$D$201,2,0)</f>
        <v>Chi phí khấu Hao TSCĐ quản lý doanh nghiệp</v>
      </c>
      <c r="N279" s="99" t="str">
        <f>VLOOKUP(J279,SDDK!$C$6:$D$201,2,0)</f>
        <v>Hao mòn TSCĐ hữu hình lũy kế (*)</v>
      </c>
    </row>
    <row r="280" spans="1:14" ht="12.75">
      <c r="A280" s="95" t="str">
        <f t="shared" si="5"/>
        <v>30/10/2020</v>
      </c>
      <c r="B280" s="96"/>
      <c r="C280" s="97"/>
      <c r="D280" s="107" t="s">
        <v>580</v>
      </c>
      <c r="E280" s="96" t="s">
        <v>703</v>
      </c>
      <c r="F280" s="98" t="s">
        <v>975</v>
      </c>
      <c r="G280" s="96"/>
      <c r="H280" s="160" t="s">
        <v>1188</v>
      </c>
      <c r="I280" s="109" t="s">
        <v>46</v>
      </c>
      <c r="J280" s="105" t="s">
        <v>395</v>
      </c>
      <c r="K280" s="104"/>
      <c r="L280" s="110">
        <v>4166666.6666666665</v>
      </c>
      <c r="M280" s="99" t="str">
        <f>VLOOKUP(I280,SDDK!$C$6:$D$201,2,0)</f>
        <v>Chi phí khấu hao PX1</v>
      </c>
      <c r="N280" s="99" t="str">
        <f>VLOOKUP(J280,SDDK!$C$6:$D$201,2,0)</f>
        <v>Hao mòn TSCĐ thuê tài chính lũy kế (*)</v>
      </c>
    </row>
    <row r="281" spans="1:14" ht="12.75">
      <c r="A281" s="95" t="str">
        <f t="shared" si="5"/>
        <v>30/10/2020</v>
      </c>
      <c r="B281" s="96"/>
      <c r="C281" s="97"/>
      <c r="D281" s="107" t="s">
        <v>580</v>
      </c>
      <c r="E281" s="96" t="s">
        <v>703</v>
      </c>
      <c r="F281" s="98" t="s">
        <v>975</v>
      </c>
      <c r="G281" s="96"/>
      <c r="H281" s="160" t="s">
        <v>1188</v>
      </c>
      <c r="I281" s="105" t="s">
        <v>74</v>
      </c>
      <c r="J281" s="105" t="s">
        <v>397</v>
      </c>
      <c r="K281" s="104"/>
      <c r="L281" s="110">
        <v>6895161</v>
      </c>
      <c r="M281" s="99" t="str">
        <f>VLOOKUP(I281,SDDK!$C$6:$D$201,2,0)</f>
        <v>Chi phí khấu hao TSCĐ bán hàng</v>
      </c>
      <c r="N281" s="99" t="str">
        <f>VLOOKUP(J281,SDDK!$C$6:$D$201,2,0)</f>
        <v>Hao mòn TSCĐ vô hình lũy kế (*)</v>
      </c>
    </row>
    <row r="282" spans="1:14" ht="12.75">
      <c r="A282" s="95" t="str">
        <f t="shared" si="5"/>
        <v>30/10/2020</v>
      </c>
      <c r="B282" s="96"/>
      <c r="C282" s="97"/>
      <c r="D282" s="96" t="s">
        <v>581</v>
      </c>
      <c r="E282" s="96" t="s">
        <v>671</v>
      </c>
      <c r="F282" s="98" t="s">
        <v>975</v>
      </c>
      <c r="G282" s="96"/>
      <c r="H282" s="160" t="s">
        <v>1189</v>
      </c>
      <c r="I282" s="105" t="s">
        <v>806</v>
      </c>
      <c r="J282" s="105" t="s">
        <v>728</v>
      </c>
      <c r="K282" s="104"/>
      <c r="L282" s="104">
        <v>30000000</v>
      </c>
      <c r="M282" s="99" t="str">
        <f>VLOOKUP(I282,SDDK!$C$6:$D$201,2,0)</f>
        <v>Chi phí trả trước ngắn hạn - SC TSCĐ</v>
      </c>
      <c r="N282" s="99" t="str">
        <f>VLOOKUP(J282,SDDK!$C$6:$D$201,2,0)</f>
        <v>Xây dựng cơ bản dở dang</v>
      </c>
    </row>
    <row r="283" spans="1:14" ht="12.75">
      <c r="A283" s="95" t="str">
        <f t="shared" si="5"/>
        <v>30/10/2020</v>
      </c>
      <c r="B283" s="96"/>
      <c r="C283" s="97"/>
      <c r="D283" s="96" t="s">
        <v>582</v>
      </c>
      <c r="E283" s="96" t="s">
        <v>704</v>
      </c>
      <c r="F283" s="98" t="s">
        <v>975</v>
      </c>
      <c r="G283" s="96"/>
      <c r="H283" s="160" t="s">
        <v>1190</v>
      </c>
      <c r="I283" s="105" t="s">
        <v>52</v>
      </c>
      <c r="J283" s="105" t="s">
        <v>806</v>
      </c>
      <c r="K283" s="104"/>
      <c r="L283" s="112">
        <v>5000000</v>
      </c>
      <c r="M283" s="99" t="str">
        <f>VLOOKUP(I283,SDDK!$C$6:$D$201,2,0)</f>
        <v>Chi phí dịch vụ mua ngoài PX2</v>
      </c>
      <c r="N283" s="99" t="str">
        <f>VLOOKUP(J283,SDDK!$C$6:$D$201,2,0)</f>
        <v>Chi phí trả trước ngắn hạn - SC TSCĐ</v>
      </c>
    </row>
    <row r="284" spans="1:14" ht="12.75">
      <c r="A284" s="95" t="str">
        <f t="shared" si="5"/>
        <v>30/10/2020</v>
      </c>
      <c r="B284" s="96"/>
      <c r="C284" s="97"/>
      <c r="D284" s="96" t="s">
        <v>582</v>
      </c>
      <c r="E284" s="96" t="s">
        <v>704</v>
      </c>
      <c r="F284" s="98" t="s">
        <v>975</v>
      </c>
      <c r="G284" s="96"/>
      <c r="H284" s="160" t="s">
        <v>1191</v>
      </c>
      <c r="I284" s="105" t="s">
        <v>42</v>
      </c>
      <c r="J284" s="105" t="s">
        <v>883</v>
      </c>
      <c r="K284" s="104"/>
      <c r="L284" s="112">
        <v>2500000</v>
      </c>
      <c r="M284" s="99" t="str">
        <f>VLOOKUP(I284,SDDK!$C$6:$D$201,2,0)</f>
        <v>Chi phí dụng cụ sản xuất PX1</v>
      </c>
      <c r="N284" s="99" t="str">
        <f>VLOOKUP(J284,SDDK!$C$6:$D$201,2,0)</f>
        <v>Chi phí trả trước ngắn hạn - CCDC</v>
      </c>
    </row>
    <row r="285" spans="1:14" ht="12.75">
      <c r="A285" s="95" t="str">
        <f t="shared" si="5"/>
        <v>31/10/2020</v>
      </c>
      <c r="B285" s="97"/>
      <c r="C285" s="97"/>
      <c r="D285" s="96" t="s">
        <v>583</v>
      </c>
      <c r="E285" s="96" t="s">
        <v>671</v>
      </c>
      <c r="F285" s="98" t="s">
        <v>977</v>
      </c>
      <c r="G285" s="96"/>
      <c r="H285" s="96" t="s">
        <v>1192</v>
      </c>
      <c r="I285" s="100" t="s">
        <v>60</v>
      </c>
      <c r="J285" s="100" t="s">
        <v>36</v>
      </c>
      <c r="K285" s="101"/>
      <c r="L285" s="104">
        <v>24407500</v>
      </c>
      <c r="M285" s="99" t="str">
        <f>VLOOKUP(I285,SDDK!$C$6:$D$201,2,0)</f>
        <v>Tổng chi phí phân xưởng 2 phải phân bổ</v>
      </c>
      <c r="N285" s="99" t="str">
        <f>VLOOKUP(J285,SDDK!$C$6:$D$201,2,0)</f>
        <v>Chi phí nhân viên PX2</v>
      </c>
    </row>
    <row r="286" spans="1:14" ht="12.75">
      <c r="A286" s="95" t="str">
        <f t="shared" si="5"/>
        <v>31/10/2020</v>
      </c>
      <c r="B286" s="97"/>
      <c r="C286" s="97"/>
      <c r="D286" s="96" t="s">
        <v>583</v>
      </c>
      <c r="E286" s="96" t="s">
        <v>671</v>
      </c>
      <c r="F286" s="98" t="s">
        <v>977</v>
      </c>
      <c r="G286" s="96"/>
      <c r="H286" s="96" t="s">
        <v>1192</v>
      </c>
      <c r="I286" s="100" t="s">
        <v>60</v>
      </c>
      <c r="J286" s="100" t="s">
        <v>40</v>
      </c>
      <c r="K286" s="101"/>
      <c r="L286" s="104">
        <v>56231869</v>
      </c>
      <c r="M286" s="99" t="str">
        <f>VLOOKUP(I286,SDDK!$C$6:$D$201,2,0)</f>
        <v>Tổng chi phí phân xưởng 2 phải phân bổ</v>
      </c>
      <c r="N286" s="99" t="str">
        <f>VLOOKUP(J286,SDDK!$C$6:$D$201,2,0)</f>
        <v>Chi phí nguyên vật liệu  PX2</v>
      </c>
    </row>
    <row r="287" spans="1:14" ht="12.75">
      <c r="A287" s="95" t="str">
        <f t="shared" si="5"/>
        <v>31/10/2020</v>
      </c>
      <c r="B287" s="97"/>
      <c r="C287" s="97"/>
      <c r="D287" s="96" t="s">
        <v>583</v>
      </c>
      <c r="E287" s="96" t="s">
        <v>671</v>
      </c>
      <c r="F287" s="98" t="s">
        <v>977</v>
      </c>
      <c r="G287" s="96"/>
      <c r="H287" s="96" t="s">
        <v>1192</v>
      </c>
      <c r="I287" s="100" t="s">
        <v>60</v>
      </c>
      <c r="J287" s="100" t="s">
        <v>44</v>
      </c>
      <c r="K287" s="101"/>
      <c r="L287" s="104">
        <v>2082500</v>
      </c>
      <c r="M287" s="99" t="str">
        <f>VLOOKUP(I287,SDDK!$C$6:$D$201,2,0)</f>
        <v>Tổng chi phí phân xưởng 2 phải phân bổ</v>
      </c>
      <c r="N287" s="99" t="str">
        <f>VLOOKUP(J287,SDDK!$C$6:$D$201,2,0)</f>
        <v>Chi phí dụng cụ sản xuất PX2</v>
      </c>
    </row>
    <row r="288" spans="1:14" ht="12.75">
      <c r="A288" s="95" t="str">
        <f t="shared" si="5"/>
        <v>31/10/2020</v>
      </c>
      <c r="B288" s="97"/>
      <c r="C288" s="97"/>
      <c r="D288" s="96" t="s">
        <v>583</v>
      </c>
      <c r="E288" s="96" t="s">
        <v>671</v>
      </c>
      <c r="F288" s="98" t="s">
        <v>977</v>
      </c>
      <c r="G288" s="96"/>
      <c r="H288" s="96" t="s">
        <v>1192</v>
      </c>
      <c r="I288" s="100" t="s">
        <v>60</v>
      </c>
      <c r="J288" s="100" t="s">
        <v>48</v>
      </c>
      <c r="K288" s="101"/>
      <c r="L288" s="104">
        <v>11500000</v>
      </c>
      <c r="M288" s="99" t="str">
        <f>VLOOKUP(I288,SDDK!$C$6:$D$201,2,0)</f>
        <v>Tổng chi phí phân xưởng 2 phải phân bổ</v>
      </c>
      <c r="N288" s="99" t="str">
        <f>VLOOKUP(J288,SDDK!$C$6:$D$201,2,0)</f>
        <v>Chi phí khấu hao PX2</v>
      </c>
    </row>
    <row r="289" spans="1:14" ht="12.75">
      <c r="A289" s="95" t="str">
        <f>F289</f>
        <v>31/10/2020</v>
      </c>
      <c r="B289" s="97"/>
      <c r="C289" s="97"/>
      <c r="D289" s="96" t="s">
        <v>583</v>
      </c>
      <c r="E289" s="96" t="s">
        <v>671</v>
      </c>
      <c r="F289" s="98" t="s">
        <v>977</v>
      </c>
      <c r="G289" s="96"/>
      <c r="H289" s="96" t="s">
        <v>1192</v>
      </c>
      <c r="I289" s="100" t="s">
        <v>60</v>
      </c>
      <c r="J289" s="100" t="s">
        <v>52</v>
      </c>
      <c r="K289" s="101"/>
      <c r="L289" s="104">
        <v>5000000</v>
      </c>
      <c r="M289" s="99" t="str">
        <f>VLOOKUP(I289,SDDK!$C$6:$D$201,2,0)</f>
        <v>Tổng chi phí phân xưởng 2 phải phân bổ</v>
      </c>
      <c r="N289" s="99" t="str">
        <f>VLOOKUP(J289,SDDK!$C$6:$D$201,2,0)</f>
        <v>Chi phí dịch vụ mua ngoài PX2</v>
      </c>
    </row>
    <row r="290" spans="1:14" ht="12.75">
      <c r="A290" s="95" t="str">
        <f t="shared" si="5"/>
        <v>31/10/2020</v>
      </c>
      <c r="B290" s="97"/>
      <c r="C290" s="97"/>
      <c r="D290" s="96" t="s">
        <v>584</v>
      </c>
      <c r="E290" s="96" t="s">
        <v>671</v>
      </c>
      <c r="F290" s="98" t="s">
        <v>977</v>
      </c>
      <c r="G290" s="96"/>
      <c r="H290" s="96" t="s">
        <v>1193</v>
      </c>
      <c r="I290" s="100" t="s">
        <v>383</v>
      </c>
      <c r="J290" s="100" t="s">
        <v>29</v>
      </c>
      <c r="K290" s="101"/>
      <c r="L290" s="104">
        <v>56570100</v>
      </c>
      <c r="M290" s="99" t="str">
        <f>VLOOKUP(I290,SDDK!$C$6:$D$201,2,0)</f>
        <v>Điện thắp sáng</v>
      </c>
      <c r="N290" s="99" t="str">
        <f>VLOOKUP(J290,SDDK!$C$6:$D$201,2,0)</f>
        <v>Chi phí NVL trực tiếp cho Dịch vụ sửa chữa</v>
      </c>
    </row>
    <row r="291" spans="1:14" ht="12.75">
      <c r="A291" s="95" t="str">
        <f t="shared" si="5"/>
        <v>31/10/2020</v>
      </c>
      <c r="B291" s="97"/>
      <c r="C291" s="97"/>
      <c r="D291" s="96" t="s">
        <v>584</v>
      </c>
      <c r="E291" s="96" t="s">
        <v>671</v>
      </c>
      <c r="F291" s="98" t="s">
        <v>977</v>
      </c>
      <c r="G291" s="96"/>
      <c r="H291" s="96" t="s">
        <v>1193</v>
      </c>
      <c r="I291" s="100" t="s">
        <v>383</v>
      </c>
      <c r="J291" s="100" t="s">
        <v>33</v>
      </c>
      <c r="K291" s="101"/>
      <c r="L291" s="104">
        <v>32871166.666666664</v>
      </c>
      <c r="M291" s="99" t="str">
        <f>VLOOKUP(I291,SDDK!$C$6:$D$201,2,0)</f>
        <v>Điện thắp sáng</v>
      </c>
      <c r="N291" s="99" t="str">
        <f>VLOOKUP(J291,SDDK!$C$6:$D$201,2,0)</f>
        <v>Chi phí NC trực tiếp cho Dịch vụ sửa chữa</v>
      </c>
    </row>
    <row r="292" spans="1:14" ht="12.75">
      <c r="A292" s="95" t="str">
        <f t="shared" si="5"/>
        <v>31/10/2020</v>
      </c>
      <c r="B292" s="97"/>
      <c r="C292" s="97"/>
      <c r="D292" s="96" t="s">
        <v>584</v>
      </c>
      <c r="E292" s="96" t="s">
        <v>671</v>
      </c>
      <c r="F292" s="98" t="s">
        <v>977</v>
      </c>
      <c r="G292" s="96"/>
      <c r="H292" s="96" t="s">
        <v>1193</v>
      </c>
      <c r="I292" s="100" t="s">
        <v>383</v>
      </c>
      <c r="J292" s="100" t="s">
        <v>60</v>
      </c>
      <c r="K292" s="101"/>
      <c r="L292" s="104">
        <v>99221869</v>
      </c>
      <c r="M292" s="99" t="str">
        <f>VLOOKUP(I292,SDDK!$C$6:$D$201,2,0)</f>
        <v>Điện thắp sáng</v>
      </c>
      <c r="N292" s="99" t="str">
        <f>VLOOKUP(J292,SDDK!$C$6:$D$201,2,0)</f>
        <v>Tổng chi phí phân xưởng 2 phải phân bổ</v>
      </c>
    </row>
    <row r="293" spans="1:14" ht="12.75">
      <c r="A293" s="95" t="str">
        <f t="shared" si="5"/>
        <v>31/10/2020</v>
      </c>
      <c r="B293" s="97"/>
      <c r="C293" s="97"/>
      <c r="D293" s="96" t="s">
        <v>585</v>
      </c>
      <c r="E293" s="96" t="s">
        <v>672</v>
      </c>
      <c r="F293" s="98" t="s">
        <v>977</v>
      </c>
      <c r="G293" s="96"/>
      <c r="H293" s="96" t="s">
        <v>1194</v>
      </c>
      <c r="I293" s="100" t="s">
        <v>50</v>
      </c>
      <c r="J293" s="100" t="s">
        <v>383</v>
      </c>
      <c r="K293" s="101"/>
      <c r="L293" s="104">
        <v>141497351.75</v>
      </c>
      <c r="M293" s="99" t="str">
        <f>VLOOKUP(I293,SDDK!$C$6:$D$201,2,0)</f>
        <v>Chi phí dịch vụ mua ngoài PX1</v>
      </c>
      <c r="N293" s="99" t="str">
        <f>VLOOKUP(J293,SDDK!$C$6:$D$201,2,0)</f>
        <v>Điện thắp sáng</v>
      </c>
    </row>
    <row r="294" spans="1:14" ht="12.75">
      <c r="A294" s="95" t="str">
        <f t="shared" si="5"/>
        <v>31/10/2020</v>
      </c>
      <c r="B294" s="97"/>
      <c r="C294" s="97"/>
      <c r="D294" s="96" t="s">
        <v>585</v>
      </c>
      <c r="E294" s="96" t="s">
        <v>672</v>
      </c>
      <c r="F294" s="98" t="s">
        <v>977</v>
      </c>
      <c r="G294" s="96"/>
      <c r="H294" s="96" t="s">
        <v>1195</v>
      </c>
      <c r="I294" s="100" t="s">
        <v>94</v>
      </c>
      <c r="J294" s="100" t="s">
        <v>383</v>
      </c>
      <c r="K294" s="101"/>
      <c r="L294" s="104">
        <v>47165783.916666664</v>
      </c>
      <c r="M294" s="99" t="str">
        <f>VLOOKUP(I294,SDDK!$C$6:$D$201,2,0)</f>
        <v>Chi phí dịch vụ quản lý doanh nghiệp</v>
      </c>
      <c r="N294" s="99" t="str">
        <f>VLOOKUP(J294,SDDK!$C$6:$D$201,2,0)</f>
        <v>Điện thắp sáng</v>
      </c>
    </row>
    <row r="295" spans="1:14" ht="12.75">
      <c r="A295" s="95" t="str">
        <f t="shared" si="5"/>
        <v>31/10/2020</v>
      </c>
      <c r="B295" s="97"/>
      <c r="C295" s="97"/>
      <c r="D295" s="96" t="s">
        <v>586</v>
      </c>
      <c r="E295" s="96" t="s">
        <v>671</v>
      </c>
      <c r="F295" s="98" t="s">
        <v>977</v>
      </c>
      <c r="G295" s="96"/>
      <c r="H295" s="96" t="s">
        <v>1196</v>
      </c>
      <c r="I295" s="100" t="s">
        <v>58</v>
      </c>
      <c r="J295" s="100" t="s">
        <v>34</v>
      </c>
      <c r="K295" s="101"/>
      <c r="L295" s="104">
        <v>25678000</v>
      </c>
      <c r="M295" s="99" t="str">
        <f>VLOOKUP(I295,SDDK!$C$6:$D$201,2,0)</f>
        <v>Tổng chi phí phân xưởng 1 phải phân bổ</v>
      </c>
      <c r="N295" s="99" t="str">
        <f>VLOOKUP(J295,SDDK!$C$6:$D$201,2,0)</f>
        <v>Chi phí nhân viên PX1</v>
      </c>
    </row>
    <row r="296" spans="1:14" ht="12.75">
      <c r="A296" s="95" t="str">
        <f t="shared" si="5"/>
        <v>31/10/2020</v>
      </c>
      <c r="B296" s="97"/>
      <c r="C296" s="97"/>
      <c r="D296" s="96" t="s">
        <v>586</v>
      </c>
      <c r="E296" s="96" t="s">
        <v>671</v>
      </c>
      <c r="F296" s="98" t="s">
        <v>977</v>
      </c>
      <c r="G296" s="96"/>
      <c r="H296" s="96" t="s">
        <v>1196</v>
      </c>
      <c r="I296" s="100" t="s">
        <v>58</v>
      </c>
      <c r="J296" s="100" t="s">
        <v>38</v>
      </c>
      <c r="K296" s="101"/>
      <c r="L296" s="104">
        <v>32372114</v>
      </c>
      <c r="M296" s="99" t="str">
        <f>VLOOKUP(I296,SDDK!$C$6:$D$201,2,0)</f>
        <v>Tổng chi phí phân xưởng 1 phải phân bổ</v>
      </c>
      <c r="N296" s="99" t="str">
        <f>VLOOKUP(J296,SDDK!$C$6:$D$201,2,0)</f>
        <v>Chi phí nguyên vật liệu  PX1</v>
      </c>
    </row>
    <row r="297" spans="1:14" ht="12.75">
      <c r="A297" s="95" t="str">
        <f t="shared" si="5"/>
        <v>31/10/2020</v>
      </c>
      <c r="B297" s="97"/>
      <c r="C297" s="97"/>
      <c r="D297" s="96" t="s">
        <v>586</v>
      </c>
      <c r="E297" s="96" t="s">
        <v>671</v>
      </c>
      <c r="F297" s="98" t="s">
        <v>977</v>
      </c>
      <c r="G297" s="96"/>
      <c r="H297" s="96" t="s">
        <v>1196</v>
      </c>
      <c r="I297" s="100" t="s">
        <v>58</v>
      </c>
      <c r="J297" s="100" t="s">
        <v>42</v>
      </c>
      <c r="K297" s="102"/>
      <c r="L297" s="104">
        <v>2500000</v>
      </c>
      <c r="M297" s="99" t="str">
        <f>VLOOKUP(I297,SDDK!$C$6:$D$201,2,0)</f>
        <v>Tổng chi phí phân xưởng 1 phải phân bổ</v>
      </c>
      <c r="N297" s="99" t="str">
        <f>VLOOKUP(J297,SDDK!$C$6:$D$201,2,0)</f>
        <v>Chi phí dụng cụ sản xuất PX1</v>
      </c>
    </row>
    <row r="298" spans="1:14" ht="12.75">
      <c r="A298" s="95" t="str">
        <f t="shared" si="5"/>
        <v>31/10/2020</v>
      </c>
      <c r="B298" s="97"/>
      <c r="C298" s="97"/>
      <c r="D298" s="96" t="s">
        <v>586</v>
      </c>
      <c r="E298" s="96" t="s">
        <v>671</v>
      </c>
      <c r="F298" s="98" t="s">
        <v>977</v>
      </c>
      <c r="G298" s="96"/>
      <c r="H298" s="96" t="s">
        <v>1196</v>
      </c>
      <c r="I298" s="100" t="s">
        <v>58</v>
      </c>
      <c r="J298" s="100" t="s">
        <v>46</v>
      </c>
      <c r="K298" s="101"/>
      <c r="L298" s="104">
        <v>20390053.666666668</v>
      </c>
      <c r="M298" s="99" t="str">
        <f>VLOOKUP(I298,SDDK!$C$6:$D$201,2,0)</f>
        <v>Tổng chi phí phân xưởng 1 phải phân bổ</v>
      </c>
      <c r="N298" s="99" t="str">
        <f>VLOOKUP(J298,SDDK!$C$6:$D$201,2,0)</f>
        <v>Chi phí khấu hao PX1</v>
      </c>
    </row>
    <row r="299" spans="1:14" ht="12.75">
      <c r="A299" s="95" t="str">
        <f t="shared" si="5"/>
        <v>31/10/2020</v>
      </c>
      <c r="B299" s="97"/>
      <c r="C299" s="97"/>
      <c r="D299" s="96" t="s">
        <v>586</v>
      </c>
      <c r="E299" s="96" t="s">
        <v>671</v>
      </c>
      <c r="F299" s="98" t="s">
        <v>977</v>
      </c>
      <c r="G299" s="96"/>
      <c r="H299" s="96" t="s">
        <v>1196</v>
      </c>
      <c r="I299" s="100" t="s">
        <v>58</v>
      </c>
      <c r="J299" s="100" t="s">
        <v>50</v>
      </c>
      <c r="K299" s="101"/>
      <c r="L299" s="104">
        <v>142697351.75</v>
      </c>
      <c r="M299" s="99" t="str">
        <f>VLOOKUP(I299,SDDK!$C$6:$D$201,2,0)</f>
        <v>Tổng chi phí phân xưởng 1 phải phân bổ</v>
      </c>
      <c r="N299" s="99" t="str">
        <f>VLOOKUP(J299,SDDK!$C$6:$D$201,2,0)</f>
        <v>Chi phí dịch vụ mua ngoài PX1</v>
      </c>
    </row>
    <row r="300" spans="1:14" ht="25.5">
      <c r="A300" s="95" t="str">
        <f t="shared" si="5"/>
        <v>31/10/2020</v>
      </c>
      <c r="B300" s="97"/>
      <c r="C300" s="96" t="s">
        <v>297</v>
      </c>
      <c r="D300" s="96"/>
      <c r="E300" s="96" t="s">
        <v>673</v>
      </c>
      <c r="F300" s="98" t="s">
        <v>977</v>
      </c>
      <c r="G300" s="96" t="s">
        <v>602</v>
      </c>
      <c r="H300" s="162" t="s">
        <v>1197</v>
      </c>
      <c r="I300" s="102" t="s">
        <v>375</v>
      </c>
      <c r="J300" s="100" t="s">
        <v>26</v>
      </c>
      <c r="K300" s="101">
        <v>45</v>
      </c>
      <c r="L300" s="112">
        <v>836325</v>
      </c>
      <c r="M300" s="99" t="str">
        <f>VLOOKUP(I300,SDDK!$C$6:$D$201,2,0)</f>
        <v>Sợi thun coton thô</v>
      </c>
      <c r="N300" s="99" t="str">
        <f>VLOOKUP(J300,SDDK!$C$6:$D$201,2,0)</f>
        <v>Chi phí NVL trực tiếp cho Vải thun coton</v>
      </c>
    </row>
    <row r="301" spans="1:14" ht="12.75">
      <c r="A301" s="95" t="str">
        <f t="shared" si="5"/>
        <v>31/10/2020</v>
      </c>
      <c r="B301" s="97"/>
      <c r="C301" s="97"/>
      <c r="D301" s="96" t="s">
        <v>587</v>
      </c>
      <c r="E301" s="96" t="s">
        <v>671</v>
      </c>
      <c r="F301" s="98" t="s">
        <v>977</v>
      </c>
      <c r="G301" s="96"/>
      <c r="H301" s="96" t="s">
        <v>1198</v>
      </c>
      <c r="I301" s="100" t="s">
        <v>381</v>
      </c>
      <c r="J301" s="100" t="s">
        <v>26</v>
      </c>
      <c r="K301" s="101"/>
      <c r="L301" s="104">
        <v>543572175</v>
      </c>
      <c r="M301" s="99" t="str">
        <f>VLOOKUP(I301,SDDK!$C$6:$D$201,2,0)</f>
        <v>Chi phí SXKD dở dang Vải thun coton (giá kế hoạch 4600)</v>
      </c>
      <c r="N301" s="99" t="str">
        <f>VLOOKUP(J301,SDDK!$C$6:$D$201,2,0)</f>
        <v>Chi phí NVL trực tiếp cho Vải thun coton</v>
      </c>
    </row>
    <row r="302" spans="1:14" ht="12.75">
      <c r="A302" s="95" t="str">
        <f t="shared" si="5"/>
        <v>31/10/2020</v>
      </c>
      <c r="B302" s="97"/>
      <c r="C302" s="97"/>
      <c r="D302" s="96" t="s">
        <v>587</v>
      </c>
      <c r="E302" s="96" t="s">
        <v>671</v>
      </c>
      <c r="F302" s="98" t="s">
        <v>977</v>
      </c>
      <c r="G302" s="96"/>
      <c r="H302" s="96" t="s">
        <v>1198</v>
      </c>
      <c r="I302" s="100" t="s">
        <v>381</v>
      </c>
      <c r="J302" s="100" t="s">
        <v>30</v>
      </c>
      <c r="K302" s="101"/>
      <c r="L302" s="104">
        <v>68070166.66666666</v>
      </c>
      <c r="M302" s="99" t="str">
        <f>VLOOKUP(I302,SDDK!$C$6:$D$201,2,0)</f>
        <v>Chi phí SXKD dở dang Vải thun coton (giá kế hoạch 4600)</v>
      </c>
      <c r="N302" s="99" t="str">
        <f>VLOOKUP(J302,SDDK!$C$6:$D$201,2,0)</f>
        <v>Chi phí NC trực tiếp cho Vải thun coton</v>
      </c>
    </row>
    <row r="303" spans="1:14" ht="25.5">
      <c r="A303" s="95" t="str">
        <f t="shared" si="5"/>
        <v>31/10/2020</v>
      </c>
      <c r="B303" s="97"/>
      <c r="C303" s="96"/>
      <c r="D303" s="96" t="s">
        <v>588</v>
      </c>
      <c r="E303" s="96" t="s">
        <v>673</v>
      </c>
      <c r="F303" s="98" t="s">
        <v>977</v>
      </c>
      <c r="G303" s="96"/>
      <c r="H303" s="162" t="s">
        <v>1199</v>
      </c>
      <c r="I303" s="100" t="s">
        <v>27</v>
      </c>
      <c r="J303" s="100" t="s">
        <v>376</v>
      </c>
      <c r="K303" s="113">
        <v>-2000</v>
      </c>
      <c r="L303" s="112">
        <v>-21302000</v>
      </c>
      <c r="M303" s="99" t="str">
        <f>VLOOKUP(I303,SDDK!$C$6:$D$201,2,0)</f>
        <v>Chi phí NVL trực tiếp cho Thảm lót chân</v>
      </c>
      <c r="N303" s="99" t="str">
        <f>VLOOKUP(J303,SDDK!$C$6:$D$201,2,0)</f>
        <v>Thuốc nhuộm màu xanh đen C02</v>
      </c>
    </row>
    <row r="304" spans="1:14" ht="12.75">
      <c r="A304" s="95" t="str">
        <f t="shared" si="5"/>
        <v>31/10/2020</v>
      </c>
      <c r="B304" s="97"/>
      <c r="C304" s="97"/>
      <c r="D304" s="96" t="s">
        <v>589</v>
      </c>
      <c r="E304" s="96" t="s">
        <v>671</v>
      </c>
      <c r="F304" s="98" t="s">
        <v>977</v>
      </c>
      <c r="G304" s="96"/>
      <c r="H304" s="96" t="s">
        <v>1198</v>
      </c>
      <c r="I304" s="100" t="s">
        <v>382</v>
      </c>
      <c r="J304" s="100" t="s">
        <v>27</v>
      </c>
      <c r="K304" s="101"/>
      <c r="L304" s="104">
        <v>567710500</v>
      </c>
      <c r="M304" s="99" t="str">
        <f>VLOOKUP(I304,SDDK!$C$6:$D$201,2,0)</f>
        <v>Chi phí SXKD dở dang Thảm lót chân (giá kế hoạch 5500)</v>
      </c>
      <c r="N304" s="99" t="str">
        <f>VLOOKUP(J304,SDDK!$C$6:$D$201,2,0)</f>
        <v>Chi phí NVL trực tiếp cho Thảm lót chân</v>
      </c>
    </row>
    <row r="305" spans="1:14" ht="12.75">
      <c r="A305" s="95" t="str">
        <f t="shared" si="5"/>
        <v>31/10/2020</v>
      </c>
      <c r="B305" s="97"/>
      <c r="C305" s="97"/>
      <c r="D305" s="96" t="s">
        <v>589</v>
      </c>
      <c r="E305" s="96" t="s">
        <v>671</v>
      </c>
      <c r="F305" s="98" t="s">
        <v>977</v>
      </c>
      <c r="G305" s="96"/>
      <c r="H305" s="96" t="s">
        <v>1198</v>
      </c>
      <c r="I305" s="100" t="s">
        <v>382</v>
      </c>
      <c r="J305" s="100" t="s">
        <v>31</v>
      </c>
      <c r="K305" s="101"/>
      <c r="L305" s="104">
        <v>90562444.44444445</v>
      </c>
      <c r="M305" s="99" t="str">
        <f>VLOOKUP(I305,SDDK!$C$6:$D$201,2,0)</f>
        <v>Chi phí SXKD dở dang Thảm lót chân (giá kế hoạch 5500)</v>
      </c>
      <c r="N305" s="99" t="str">
        <f>VLOOKUP(J305,SDDK!$C$6:$D$201,2,0)</f>
        <v>Chi phí NC trực tiếp cho Thảm lót chân</v>
      </c>
    </row>
    <row r="306" spans="1:14" ht="12.75">
      <c r="A306" s="95" t="str">
        <f t="shared" si="5"/>
        <v>31/10/2020</v>
      </c>
      <c r="B306" s="97"/>
      <c r="C306" s="97"/>
      <c r="D306" s="96" t="s">
        <v>590</v>
      </c>
      <c r="E306" s="96" t="s">
        <v>672</v>
      </c>
      <c r="F306" s="98" t="s">
        <v>977</v>
      </c>
      <c r="G306" s="96"/>
      <c r="H306" s="96" t="s">
        <v>1200</v>
      </c>
      <c r="I306" s="100" t="s">
        <v>381</v>
      </c>
      <c r="J306" s="100" t="s">
        <v>58</v>
      </c>
      <c r="K306" s="101"/>
      <c r="L306" s="104">
        <v>89455007.76666668</v>
      </c>
      <c r="M306" s="99" t="str">
        <f>VLOOKUP(I306,SDDK!$C$6:$D$201,2,0)</f>
        <v>Chi phí SXKD dở dang Vải thun coton (giá kế hoạch 4600)</v>
      </c>
      <c r="N306" s="99" t="str">
        <f>VLOOKUP(J306,SDDK!$C$6:$D$201,2,0)</f>
        <v>Tổng chi phí phân xưởng 1 phải phân bổ</v>
      </c>
    </row>
    <row r="307" spans="1:14" ht="12.75">
      <c r="A307" s="95" t="str">
        <f t="shared" si="5"/>
        <v>31/10/2020</v>
      </c>
      <c r="B307" s="97"/>
      <c r="C307" s="97"/>
      <c r="D307" s="96" t="s">
        <v>590</v>
      </c>
      <c r="E307" s="96" t="s">
        <v>672</v>
      </c>
      <c r="F307" s="98" t="s">
        <v>977</v>
      </c>
      <c r="G307" s="96"/>
      <c r="H307" s="96" t="s">
        <v>1201</v>
      </c>
      <c r="I307" s="100" t="s">
        <v>382</v>
      </c>
      <c r="J307" s="100" t="s">
        <v>58</v>
      </c>
      <c r="K307" s="101"/>
      <c r="L307" s="104">
        <v>134182511.65</v>
      </c>
      <c r="M307" s="99" t="str">
        <f>VLOOKUP(I307,SDDK!$C$6:$D$201,2,0)</f>
        <v>Chi phí SXKD dở dang Thảm lót chân (giá kế hoạch 5500)</v>
      </c>
      <c r="N307" s="99" t="str">
        <f>VLOOKUP(J307,SDDK!$C$6:$D$201,2,0)</f>
        <v>Tổng chi phí phân xưởng 1 phải phân bổ</v>
      </c>
    </row>
    <row r="308" spans="1:14" ht="12.75">
      <c r="A308" s="95" t="str">
        <f t="shared" si="5"/>
        <v>31/10/2020</v>
      </c>
      <c r="B308" s="97"/>
      <c r="C308" s="97"/>
      <c r="D308" s="96" t="s">
        <v>591</v>
      </c>
      <c r="E308" s="96" t="s">
        <v>671</v>
      </c>
      <c r="F308" s="98" t="s">
        <v>977</v>
      </c>
      <c r="G308" s="96"/>
      <c r="H308" s="96" t="s">
        <v>1202</v>
      </c>
      <c r="I308" s="105" t="s">
        <v>15</v>
      </c>
      <c r="J308" s="105" t="s">
        <v>740</v>
      </c>
      <c r="K308" s="101"/>
      <c r="L308" s="104">
        <v>5655000</v>
      </c>
      <c r="M308" s="99" t="str">
        <f>VLOOKUP(I308,SDDK!$C$6:$D$201,2,0)</f>
        <v>Doanh thu bán thành phẩm</v>
      </c>
      <c r="N308" s="99" t="str">
        <f>VLOOKUP(J308,SDDK!$C$6:$D$201,2,0)</f>
        <v>Giảm giá hàng bán</v>
      </c>
    </row>
    <row r="309" spans="1:14" ht="12.75">
      <c r="A309" s="95" t="str">
        <f t="shared" si="5"/>
        <v>31/10/2020</v>
      </c>
      <c r="B309" s="97"/>
      <c r="C309" s="97"/>
      <c r="D309" s="96" t="s">
        <v>592</v>
      </c>
      <c r="E309" s="96" t="s">
        <v>671</v>
      </c>
      <c r="F309" s="98" t="s">
        <v>977</v>
      </c>
      <c r="G309" s="96"/>
      <c r="H309" s="96" t="s">
        <v>1203</v>
      </c>
      <c r="I309" s="105" t="s">
        <v>15</v>
      </c>
      <c r="J309" s="105" t="s">
        <v>102</v>
      </c>
      <c r="K309" s="101"/>
      <c r="L309" s="104">
        <v>1016455000</v>
      </c>
      <c r="M309" s="99" t="str">
        <f>VLOOKUP(I309,SDDK!$C$6:$D$201,2,0)</f>
        <v>Doanh thu bán thành phẩm</v>
      </c>
      <c r="N309" s="99" t="str">
        <f>VLOOKUP(J309,SDDK!$C$6:$D$201,2,0)</f>
        <v>Xác định kết quả kinh doanh</v>
      </c>
    </row>
    <row r="310" spans="1:14" ht="12.75">
      <c r="A310" s="95" t="str">
        <f t="shared" si="5"/>
        <v>31/10/2020</v>
      </c>
      <c r="B310" s="97"/>
      <c r="C310" s="97"/>
      <c r="D310" s="96" t="s">
        <v>593</v>
      </c>
      <c r="E310" s="96" t="s">
        <v>671</v>
      </c>
      <c r="F310" s="98" t="s">
        <v>977</v>
      </c>
      <c r="G310" s="96"/>
      <c r="H310" s="96" t="s">
        <v>1204</v>
      </c>
      <c r="I310" s="100" t="s">
        <v>102</v>
      </c>
      <c r="J310" s="100" t="s">
        <v>62</v>
      </c>
      <c r="K310" s="101"/>
      <c r="L310" s="104">
        <v>810857050</v>
      </c>
      <c r="M310" s="99" t="str">
        <f>VLOOKUP(I310,SDDK!$C$6:$D$201,2,0)</f>
        <v>Xác định kết quả kinh doanh</v>
      </c>
      <c r="N310" s="99" t="str">
        <f>VLOOKUP(J310,SDDK!$C$6:$D$201,2,0)</f>
        <v>Giá vốn hàng bán</v>
      </c>
    </row>
    <row r="311" spans="1:14" ht="12.75">
      <c r="A311" s="95" t="str">
        <f t="shared" si="5"/>
        <v>31/10/2020</v>
      </c>
      <c r="B311" s="97"/>
      <c r="C311" s="97"/>
      <c r="D311" s="96" t="s">
        <v>593</v>
      </c>
      <c r="E311" s="96" t="s">
        <v>671</v>
      </c>
      <c r="F311" s="98" t="s">
        <v>977</v>
      </c>
      <c r="G311" s="96"/>
      <c r="H311" s="96" t="s">
        <v>1205</v>
      </c>
      <c r="I311" s="100" t="s">
        <v>102</v>
      </c>
      <c r="J311" s="100" t="s">
        <v>68</v>
      </c>
      <c r="K311" s="101"/>
      <c r="L311" s="104">
        <v>47578574.074074075</v>
      </c>
      <c r="M311" s="99" t="str">
        <f>VLOOKUP(I311,SDDK!$C$6:$D$201,2,0)</f>
        <v>Xác định kết quả kinh doanh</v>
      </c>
      <c r="N311" s="99" t="str">
        <f>VLOOKUP(J311,SDDK!$C$6:$D$201,2,0)</f>
        <v>Chi phí nhân viên bán hàng</v>
      </c>
    </row>
    <row r="312" spans="1:14" ht="12.75">
      <c r="A312" s="95" t="str">
        <f t="shared" si="5"/>
        <v>31/10/2020</v>
      </c>
      <c r="B312" s="97"/>
      <c r="C312" s="97"/>
      <c r="D312" s="96" t="s">
        <v>593</v>
      </c>
      <c r="E312" s="96" t="s">
        <v>671</v>
      </c>
      <c r="F312" s="98" t="s">
        <v>977</v>
      </c>
      <c r="G312" s="96"/>
      <c r="H312" s="96" t="s">
        <v>1205</v>
      </c>
      <c r="I312" s="100" t="s">
        <v>102</v>
      </c>
      <c r="J312" s="100" t="s">
        <v>70</v>
      </c>
      <c r="K312" s="101"/>
      <c r="L312" s="104">
        <v>7029660</v>
      </c>
      <c r="M312" s="99" t="str">
        <f>VLOOKUP(I312,SDDK!$C$6:$D$201,2,0)</f>
        <v>Xác định kết quả kinh doanh</v>
      </c>
      <c r="N312" s="99" t="str">
        <f>VLOOKUP(J312,SDDK!$C$6:$D$201,2,0)</f>
        <v>Chi phí vật liệu, bao bì hàng bán</v>
      </c>
    </row>
    <row r="313" spans="1:14" ht="12.75">
      <c r="A313" s="95" t="str">
        <f t="shared" si="5"/>
        <v>31/10/2020</v>
      </c>
      <c r="B313" s="97"/>
      <c r="C313" s="97"/>
      <c r="D313" s="96" t="s">
        <v>593</v>
      </c>
      <c r="E313" s="96" t="s">
        <v>671</v>
      </c>
      <c r="F313" s="98" t="s">
        <v>977</v>
      </c>
      <c r="G313" s="96"/>
      <c r="H313" s="96" t="s">
        <v>1205</v>
      </c>
      <c r="I313" s="100" t="s">
        <v>102</v>
      </c>
      <c r="J313" s="100" t="s">
        <v>74</v>
      </c>
      <c r="K313" s="101"/>
      <c r="L313" s="104">
        <v>9395161</v>
      </c>
      <c r="M313" s="99" t="str">
        <f>VLOOKUP(I313,SDDK!$C$6:$D$201,2,0)</f>
        <v>Xác định kết quả kinh doanh</v>
      </c>
      <c r="N313" s="99" t="str">
        <f>VLOOKUP(J313,SDDK!$C$6:$D$201,2,0)</f>
        <v>Chi phí khấu hao TSCĐ bán hàng</v>
      </c>
    </row>
    <row r="314" spans="1:14" ht="12.75">
      <c r="A314" s="95" t="str">
        <f t="shared" si="5"/>
        <v>31/10/2020</v>
      </c>
      <c r="B314" s="97"/>
      <c r="C314" s="97"/>
      <c r="D314" s="96" t="s">
        <v>594</v>
      </c>
      <c r="E314" s="96" t="s">
        <v>671</v>
      </c>
      <c r="F314" s="98" t="s">
        <v>977</v>
      </c>
      <c r="G314" s="96"/>
      <c r="H314" s="96" t="s">
        <v>1206</v>
      </c>
      <c r="I314" s="100" t="s">
        <v>102</v>
      </c>
      <c r="J314" s="100" t="s">
        <v>82</v>
      </c>
      <c r="K314" s="101"/>
      <c r="L314" s="104">
        <v>111510888.8888889</v>
      </c>
      <c r="M314" s="99" t="str">
        <f>VLOOKUP(I314,SDDK!$C$6:$D$201,2,0)</f>
        <v>Xác định kết quả kinh doanh</v>
      </c>
      <c r="N314" s="99" t="str">
        <f>VLOOKUP(J314,SDDK!$C$6:$D$201,2,0)</f>
        <v>Chi phí quản lý doanh nghiệp</v>
      </c>
    </row>
    <row r="315" spans="1:14" ht="12.75">
      <c r="A315" s="95" t="str">
        <f t="shared" si="5"/>
        <v>31/10/2020</v>
      </c>
      <c r="B315" s="97"/>
      <c r="C315" s="97"/>
      <c r="D315" s="96" t="s">
        <v>594</v>
      </c>
      <c r="E315" s="96" t="s">
        <v>671</v>
      </c>
      <c r="F315" s="98" t="s">
        <v>977</v>
      </c>
      <c r="G315" s="96"/>
      <c r="H315" s="96" t="s">
        <v>1206</v>
      </c>
      <c r="I315" s="100" t="s">
        <v>102</v>
      </c>
      <c r="J315" s="100" t="s">
        <v>84</v>
      </c>
      <c r="K315" s="101"/>
      <c r="L315" s="104">
        <v>7596095</v>
      </c>
      <c r="M315" s="99" t="str">
        <f>VLOOKUP(I315,SDDK!$C$6:$D$201,2,0)</f>
        <v>Xác định kết quả kinh doanh</v>
      </c>
      <c r="N315" s="99" t="str">
        <f>VLOOKUP(J315,SDDK!$C$6:$D$201,2,0)</f>
        <v>Chi phí vật liệu quản lý doanh nghiệp</v>
      </c>
    </row>
    <row r="316" spans="1:14" ht="12.75">
      <c r="A316" s="95" t="str">
        <f t="shared" si="5"/>
        <v>31/10/2020</v>
      </c>
      <c r="B316" s="97"/>
      <c r="C316" s="97"/>
      <c r="D316" s="96" t="s">
        <v>594</v>
      </c>
      <c r="E316" s="96" t="s">
        <v>671</v>
      </c>
      <c r="F316" s="98" t="s">
        <v>977</v>
      </c>
      <c r="G316" s="96"/>
      <c r="H316" s="96" t="s">
        <v>1206</v>
      </c>
      <c r="I316" s="100" t="s">
        <v>102</v>
      </c>
      <c r="J316" s="100" t="s">
        <v>86</v>
      </c>
      <c r="K316" s="101"/>
      <c r="L316" s="104">
        <v>8012500</v>
      </c>
      <c r="M316" s="99" t="str">
        <f>VLOOKUP(I316,SDDK!$C$6:$D$201,2,0)</f>
        <v>Xác định kết quả kinh doanh</v>
      </c>
      <c r="N316" s="99" t="str">
        <f>VLOOKUP(J316,SDDK!$C$6:$D$201,2,0)</f>
        <v>Chi phí dụng cụ, đồ dùng quản lý doanh nghiệp</v>
      </c>
    </row>
    <row r="317" spans="1:14" ht="12.75">
      <c r="A317" s="95" t="str">
        <f t="shared" si="5"/>
        <v>31/10/2020</v>
      </c>
      <c r="B317" s="97"/>
      <c r="C317" s="97"/>
      <c r="D317" s="96" t="s">
        <v>594</v>
      </c>
      <c r="E317" s="96" t="s">
        <v>671</v>
      </c>
      <c r="F317" s="98" t="s">
        <v>977</v>
      </c>
      <c r="G317" s="96"/>
      <c r="H317" s="96" t="s">
        <v>1206</v>
      </c>
      <c r="I317" s="100" t="s">
        <v>102</v>
      </c>
      <c r="J317" s="100" t="s">
        <v>88</v>
      </c>
      <c r="K317" s="101"/>
      <c r="L317" s="104">
        <v>7868299.666666667</v>
      </c>
      <c r="M317" s="99" t="str">
        <f>VLOOKUP(I317,SDDK!$C$6:$D$201,2,0)</f>
        <v>Xác định kết quả kinh doanh</v>
      </c>
      <c r="N317" s="99" t="str">
        <f>VLOOKUP(J317,SDDK!$C$6:$D$201,2,0)</f>
        <v>Chi phí khấu Hao TSCĐ quản lý doanh nghiệp</v>
      </c>
    </row>
    <row r="318" spans="1:14" ht="12.75">
      <c r="A318" s="95" t="str">
        <f t="shared" si="5"/>
        <v>31/10/2020</v>
      </c>
      <c r="B318" s="97"/>
      <c r="C318" s="97"/>
      <c r="D318" s="96" t="s">
        <v>594</v>
      </c>
      <c r="E318" s="96" t="s">
        <v>671</v>
      </c>
      <c r="F318" s="98" t="s">
        <v>977</v>
      </c>
      <c r="G318" s="96"/>
      <c r="H318" s="96" t="s">
        <v>1206</v>
      </c>
      <c r="I318" s="100" t="s">
        <v>102</v>
      </c>
      <c r="J318" s="100" t="s">
        <v>90</v>
      </c>
      <c r="K318" s="101"/>
      <c r="L318" s="104">
        <v>1500000</v>
      </c>
      <c r="M318" s="99" t="str">
        <f>VLOOKUP(I318,SDDK!$C$6:$D$201,2,0)</f>
        <v>Xác định kết quả kinh doanh</v>
      </c>
      <c r="N318" s="99" t="str">
        <f>VLOOKUP(J318,SDDK!$C$6:$D$201,2,0)</f>
        <v>Thuế, phí và lệ phí quản lý doanh nghiệp</v>
      </c>
    </row>
    <row r="319" spans="1:14" ht="12.75">
      <c r="A319" s="95" t="str">
        <f t="shared" si="5"/>
        <v>31/10/2020</v>
      </c>
      <c r="B319" s="97"/>
      <c r="C319" s="97"/>
      <c r="D319" s="96" t="s">
        <v>594</v>
      </c>
      <c r="E319" s="96" t="s">
        <v>671</v>
      </c>
      <c r="F319" s="98" t="s">
        <v>977</v>
      </c>
      <c r="G319" s="96"/>
      <c r="H319" s="96" t="s">
        <v>1206</v>
      </c>
      <c r="I319" s="100" t="s">
        <v>102</v>
      </c>
      <c r="J319" s="100" t="s">
        <v>92</v>
      </c>
      <c r="K319" s="101"/>
      <c r="L319" s="104">
        <v>5500000</v>
      </c>
      <c r="M319" s="99" t="str">
        <f>VLOOKUP(I319,SDDK!$C$6:$D$201,2,0)</f>
        <v>Xác định kết quả kinh doanh</v>
      </c>
      <c r="N319" s="99" t="str">
        <f>VLOOKUP(J319,SDDK!$C$6:$D$201,2,0)</f>
        <v>Chi phí dự phòng</v>
      </c>
    </row>
    <row r="320" spans="1:14" ht="12.75">
      <c r="A320" s="95" t="str">
        <f t="shared" si="5"/>
        <v>31/10/2020</v>
      </c>
      <c r="B320" s="97"/>
      <c r="C320" s="97"/>
      <c r="D320" s="96" t="s">
        <v>594</v>
      </c>
      <c r="E320" s="96" t="s">
        <v>671</v>
      </c>
      <c r="F320" s="98" t="s">
        <v>977</v>
      </c>
      <c r="G320" s="96"/>
      <c r="H320" s="96" t="s">
        <v>1206</v>
      </c>
      <c r="I320" s="100" t="s">
        <v>102</v>
      </c>
      <c r="J320" s="100" t="s">
        <v>94</v>
      </c>
      <c r="K320" s="101"/>
      <c r="L320" s="104">
        <v>53365783.916666664</v>
      </c>
      <c r="M320" s="99" t="str">
        <f>VLOOKUP(I320,SDDK!$C$6:$D$201,2,0)</f>
        <v>Xác định kết quả kinh doanh</v>
      </c>
      <c r="N320" s="99" t="str">
        <f>VLOOKUP(J320,SDDK!$C$6:$D$201,2,0)</f>
        <v>Chi phí dịch vụ quản lý doanh nghiệp</v>
      </c>
    </row>
    <row r="321" spans="1:14" ht="12.75">
      <c r="A321" s="95" t="str">
        <f t="shared" si="5"/>
        <v>31/10/2020</v>
      </c>
      <c r="B321" s="97"/>
      <c r="C321" s="97"/>
      <c r="D321" s="96" t="s">
        <v>594</v>
      </c>
      <c r="E321" s="96" t="s">
        <v>671</v>
      </c>
      <c r="F321" s="98" t="s">
        <v>977</v>
      </c>
      <c r="G321" s="96"/>
      <c r="H321" s="96" t="s">
        <v>1206</v>
      </c>
      <c r="I321" s="100" t="s">
        <v>102</v>
      </c>
      <c r="J321" s="100" t="s">
        <v>96</v>
      </c>
      <c r="K321" s="101"/>
      <c r="L321" s="104">
        <v>11600000</v>
      </c>
      <c r="M321" s="99" t="str">
        <f>VLOOKUP(I321,SDDK!$C$6:$D$201,2,0)</f>
        <v>Xác định kết quả kinh doanh</v>
      </c>
      <c r="N321" s="99" t="str">
        <f>VLOOKUP(J321,SDDK!$C$6:$D$201,2,0)</f>
        <v>Chi phí bằng tiền khác quản lý doanh nghiệp</v>
      </c>
    </row>
    <row r="322" spans="1:14" ht="12.75">
      <c r="A322" s="95" t="str">
        <f t="shared" si="5"/>
        <v>31/10/2020</v>
      </c>
      <c r="B322" s="97"/>
      <c r="C322" s="97"/>
      <c r="D322" s="96" t="s">
        <v>595</v>
      </c>
      <c r="E322" s="96" t="s">
        <v>671</v>
      </c>
      <c r="F322" s="98" t="s">
        <v>977</v>
      </c>
      <c r="G322" s="96"/>
      <c r="H322" s="96" t="s">
        <v>1207</v>
      </c>
      <c r="I322" s="105" t="s">
        <v>22</v>
      </c>
      <c r="J322" s="105" t="s">
        <v>102</v>
      </c>
      <c r="K322" s="101"/>
      <c r="L322" s="104">
        <v>750000</v>
      </c>
      <c r="M322" s="99" t="str">
        <f>VLOOKUP(I322,SDDK!$C$6:$D$201,2,0)</f>
        <v>Doanh thu tài chính phải nộp thuế TN (Lãi TG ngân hàng)</v>
      </c>
      <c r="N322" s="99" t="str">
        <f>VLOOKUP(J322,SDDK!$C$6:$D$201,2,0)</f>
        <v>Xác định kết quả kinh doanh</v>
      </c>
    </row>
    <row r="323" spans="1:14" ht="12.75">
      <c r="A323" s="95" t="str">
        <f t="shared" si="5"/>
        <v>31/10/2020</v>
      </c>
      <c r="B323" s="97"/>
      <c r="C323" s="97"/>
      <c r="D323" s="96" t="s">
        <v>595</v>
      </c>
      <c r="E323" s="96" t="s">
        <v>671</v>
      </c>
      <c r="F323" s="98" t="s">
        <v>977</v>
      </c>
      <c r="G323" s="96"/>
      <c r="H323" s="96" t="s">
        <v>1207</v>
      </c>
      <c r="I323" s="105" t="s">
        <v>23</v>
      </c>
      <c r="J323" s="105" t="s">
        <v>102</v>
      </c>
      <c r="K323" s="101"/>
      <c r="L323" s="104">
        <v>600000</v>
      </c>
      <c r="M323" s="99" t="str">
        <f>VLOOKUP(I323,SDDK!$C$6:$D$201,2,0)</f>
        <v>Doanh thu tài chính không phải nộp thuế TN (lãi liên doanh)</v>
      </c>
      <c r="N323" s="99" t="str">
        <f>VLOOKUP(J323,SDDK!$C$6:$D$201,2,0)</f>
        <v>Xác định kết quả kinh doanh</v>
      </c>
    </row>
    <row r="324" spans="1:14" ht="12.75">
      <c r="A324" s="95" t="str">
        <f t="shared" si="5"/>
        <v>31/10/2020</v>
      </c>
      <c r="B324" s="97"/>
      <c r="C324" s="97"/>
      <c r="D324" s="96" t="s">
        <v>596</v>
      </c>
      <c r="E324" s="96" t="s">
        <v>671</v>
      </c>
      <c r="F324" s="98" t="s">
        <v>977</v>
      </c>
      <c r="G324" s="96"/>
      <c r="H324" s="96" t="s">
        <v>1208</v>
      </c>
      <c r="I324" s="105" t="s">
        <v>97</v>
      </c>
      <c r="J324" s="105" t="s">
        <v>102</v>
      </c>
      <c r="K324" s="101"/>
      <c r="L324" s="104">
        <v>12000000</v>
      </c>
      <c r="M324" s="99" t="str">
        <f>VLOOKUP(I324,SDDK!$C$6:$D$201,2,0)</f>
        <v>Các khoản thu nhập khác - phải nộp thuế thu nhập</v>
      </c>
      <c r="N324" s="99" t="str">
        <f>VLOOKUP(J324,SDDK!$C$6:$D$201,2,0)</f>
        <v>Xác định kết quả kinh doanh</v>
      </c>
    </row>
    <row r="325" spans="1:14" ht="12.75">
      <c r="A325" s="95" t="str">
        <f t="shared" si="5"/>
        <v>31/10/2020</v>
      </c>
      <c r="B325" s="97"/>
      <c r="C325" s="97"/>
      <c r="D325" s="96" t="s">
        <v>596</v>
      </c>
      <c r="E325" s="96" t="s">
        <v>671</v>
      </c>
      <c r="F325" s="98" t="s">
        <v>977</v>
      </c>
      <c r="G325" s="96"/>
      <c r="H325" s="96" t="s">
        <v>1208</v>
      </c>
      <c r="I325" s="105" t="s">
        <v>99</v>
      </c>
      <c r="J325" s="105" t="s">
        <v>102</v>
      </c>
      <c r="K325" s="101"/>
      <c r="L325" s="104">
        <v>1200000</v>
      </c>
      <c r="M325" s="99" t="str">
        <f>VLOOKUP(I325,SDDK!$C$6:$D$201,2,0)</f>
        <v>Các khoản thu nhập khác - không phải nộp thuế thu nhập</v>
      </c>
      <c r="N325" s="99" t="str">
        <f>VLOOKUP(J325,SDDK!$C$6:$D$201,2,0)</f>
        <v>Xác định kết quả kinh doanh</v>
      </c>
    </row>
    <row r="326" spans="1:14" ht="12.75">
      <c r="A326" s="95" t="str">
        <f aca="true" t="shared" si="6" ref="A326:A331">F326</f>
        <v>31/10/2020</v>
      </c>
      <c r="B326" s="97"/>
      <c r="C326" s="97"/>
      <c r="D326" s="96" t="s">
        <v>597</v>
      </c>
      <c r="E326" s="96" t="s">
        <v>671</v>
      </c>
      <c r="F326" s="98" t="s">
        <v>977</v>
      </c>
      <c r="G326" s="96"/>
      <c r="H326" s="96" t="s">
        <v>1209</v>
      </c>
      <c r="I326" s="100" t="s">
        <v>102</v>
      </c>
      <c r="J326" s="100" t="s">
        <v>64</v>
      </c>
      <c r="K326" s="101"/>
      <c r="L326" s="104">
        <v>1400000</v>
      </c>
      <c r="M326" s="99" t="str">
        <f>VLOOKUP(I326,SDDK!$C$6:$D$201,2,0)</f>
        <v>Xác định kết quả kinh doanh</v>
      </c>
      <c r="N326" s="99" t="str">
        <f>VLOOKUP(J326,SDDK!$C$6:$D$201,2,0)</f>
        <v>Chi phí hoạt động tài chính (lãi vay)</v>
      </c>
    </row>
    <row r="327" spans="1:14" ht="12.75">
      <c r="A327" s="95" t="str">
        <f t="shared" si="6"/>
        <v>31/10/2020</v>
      </c>
      <c r="B327" s="97"/>
      <c r="C327" s="97"/>
      <c r="D327" s="96" t="s">
        <v>597</v>
      </c>
      <c r="E327" s="96" t="s">
        <v>671</v>
      </c>
      <c r="F327" s="98" t="s">
        <v>977</v>
      </c>
      <c r="G327" s="96"/>
      <c r="H327" s="96" t="s">
        <v>1209</v>
      </c>
      <c r="I327" s="100" t="s">
        <v>102</v>
      </c>
      <c r="J327" s="100" t="s">
        <v>66</v>
      </c>
      <c r="K327" s="101"/>
      <c r="L327" s="104">
        <v>7000000</v>
      </c>
      <c r="M327" s="99" t="str">
        <f>VLOOKUP(I327,SDDK!$C$6:$D$201,2,0)</f>
        <v>Xác định kết quả kinh doanh</v>
      </c>
      <c r="N327" s="99" t="str">
        <f>VLOOKUP(J327,SDDK!$C$6:$D$201,2,0)</f>
        <v>Chi phí hoạt động tài chính (chi khác)</v>
      </c>
    </row>
    <row r="328" spans="1:14" ht="12.75">
      <c r="A328" s="95" t="str">
        <f t="shared" si="6"/>
        <v>31/10/2020</v>
      </c>
      <c r="B328" s="97"/>
      <c r="C328" s="97"/>
      <c r="D328" s="96" t="s">
        <v>598</v>
      </c>
      <c r="E328" s="96" t="s">
        <v>671</v>
      </c>
      <c r="F328" s="98" t="s">
        <v>977</v>
      </c>
      <c r="G328" s="96"/>
      <c r="H328" s="96" t="s">
        <v>1210</v>
      </c>
      <c r="I328" s="100" t="s">
        <v>102</v>
      </c>
      <c r="J328" s="100" t="s">
        <v>101</v>
      </c>
      <c r="K328" s="101"/>
      <c r="L328" s="104">
        <v>29500000</v>
      </c>
      <c r="M328" s="99" t="str">
        <f>VLOOKUP(I328,SDDK!$C$6:$D$201,2,0)</f>
        <v>Xác định kết quả kinh doanh</v>
      </c>
      <c r="N328" s="99" t="str">
        <f>VLOOKUP(J328,SDDK!$C$6:$D$201,2,0)</f>
        <v>Chi phí khác</v>
      </c>
    </row>
    <row r="329" spans="1:14" ht="12.75">
      <c r="A329" s="95" t="str">
        <f t="shared" si="6"/>
        <v>31/10/2020</v>
      </c>
      <c r="B329" s="97"/>
      <c r="C329" s="97"/>
      <c r="D329" s="96" t="s">
        <v>599</v>
      </c>
      <c r="E329" s="96" t="s">
        <v>671</v>
      </c>
      <c r="F329" s="98" t="s">
        <v>977</v>
      </c>
      <c r="G329" s="96"/>
      <c r="H329" s="96" t="s">
        <v>1211</v>
      </c>
      <c r="I329" s="102" t="s">
        <v>461</v>
      </c>
      <c r="J329" s="102" t="s">
        <v>436</v>
      </c>
      <c r="K329" s="101"/>
      <c r="L329" s="104"/>
      <c r="M329" s="99" t="str">
        <f>VLOOKUP(I329,SDDK!$C$6:$D$201,2,0)</f>
        <v>Chi phí thuế TNDN HH</v>
      </c>
      <c r="N329" s="99" t="str">
        <f>VLOOKUP(J329,SDDK!$C$6:$D$201,2,0)</f>
        <v>Thuế thu nhập DN</v>
      </c>
    </row>
    <row r="330" spans="1:14" ht="12.75">
      <c r="A330" s="95" t="str">
        <f t="shared" si="6"/>
        <v>31/10/2020</v>
      </c>
      <c r="B330" s="97"/>
      <c r="C330" s="97"/>
      <c r="D330" s="96" t="s">
        <v>600</v>
      </c>
      <c r="E330" s="96" t="s">
        <v>671</v>
      </c>
      <c r="F330" s="98" t="s">
        <v>977</v>
      </c>
      <c r="G330" s="96"/>
      <c r="H330" s="96" t="s">
        <v>1212</v>
      </c>
      <c r="I330" s="102" t="s">
        <v>102</v>
      </c>
      <c r="J330" s="102" t="s">
        <v>461</v>
      </c>
      <c r="K330" s="101"/>
      <c r="L330" s="104"/>
      <c r="M330" s="99" t="str">
        <f>VLOOKUP(I330,SDDK!$C$6:$D$201,2,0)</f>
        <v>Xác định kết quả kinh doanh</v>
      </c>
      <c r="N330" s="99" t="str">
        <f>VLOOKUP(J330,SDDK!$C$6:$D$201,2,0)</f>
        <v>Chi phí thuế TNDN HH</v>
      </c>
    </row>
    <row r="331" spans="1:14" ht="12.75">
      <c r="A331" s="95" t="str">
        <f t="shared" si="6"/>
        <v>31/10/2020</v>
      </c>
      <c r="B331" s="97"/>
      <c r="C331" s="97"/>
      <c r="D331" s="96" t="s">
        <v>601</v>
      </c>
      <c r="E331" s="96" t="s">
        <v>671</v>
      </c>
      <c r="F331" s="98" t="s">
        <v>977</v>
      </c>
      <c r="G331" s="96"/>
      <c r="H331" s="96" t="s">
        <v>1213</v>
      </c>
      <c r="I331" s="100" t="s">
        <v>4</v>
      </c>
      <c r="J331" s="100" t="s">
        <v>102</v>
      </c>
      <c r="K331" s="101"/>
      <c r="L331" s="114">
        <v>88709012.54629612</v>
      </c>
      <c r="M331" s="99" t="str">
        <f>VLOOKUP(I331,SDDK!$C$6:$D$201,2,0)</f>
        <v>Lợi nhuận sau thuế chưa phân phối</v>
      </c>
      <c r="N331" s="99" t="str">
        <f>VLOOKUP(J331,SDDK!$C$6:$D$201,2,0)</f>
        <v>Xác định kết quả kinh doanh</v>
      </c>
    </row>
    <row r="332" spans="3:6" ht="12.75">
      <c r="C332" s="47"/>
      <c r="D332" s="47"/>
      <c r="E332" s="47"/>
      <c r="F332" s="47"/>
    </row>
  </sheetData>
  <sheetProtection/>
  <mergeCells count="2">
    <mergeCell ref="I3:J3"/>
    <mergeCell ref="A1:M1"/>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3:P202"/>
  <sheetViews>
    <sheetView showGridLines="0" zoomScale="89" zoomScaleNormal="89" zoomScalePageLayoutView="0" workbookViewId="0" topLeftCell="A64">
      <selection activeCell="D80" sqref="D80"/>
    </sheetView>
  </sheetViews>
  <sheetFormatPr defaultColWidth="8.8515625" defaultRowHeight="12.75"/>
  <cols>
    <col min="1" max="1" width="3.8515625" style="0" customWidth="1"/>
    <col min="2" max="2" width="15.00390625" style="142" bestFit="1" customWidth="1"/>
    <col min="3" max="3" width="13.421875" style="142" customWidth="1"/>
    <col min="4" max="4" width="48.421875" style="126" customWidth="1"/>
    <col min="5" max="5" width="7.28125" style="127" customWidth="1"/>
    <col min="6" max="6" width="14.421875" style="127" customWidth="1"/>
    <col min="7" max="7" width="9.7109375" style="128" customWidth="1"/>
    <col min="8" max="8" width="16.421875" style="129" customWidth="1"/>
    <col min="9" max="10" width="14.8515625" style="126" bestFit="1" customWidth="1"/>
    <col min="11" max="11" width="12.8515625" style="126" customWidth="1"/>
    <col min="12" max="12" width="15.421875" style="126" customWidth="1"/>
    <col min="13" max="13" width="19.421875" style="126" customWidth="1"/>
    <col min="14" max="14" width="14.7109375" style="0" customWidth="1"/>
    <col min="15" max="15" width="12.421875" style="126" bestFit="1" customWidth="1"/>
    <col min="16" max="16" width="15.140625" style="126" customWidth="1"/>
  </cols>
  <sheetData>
    <row r="1" ht="12.75"/>
    <row r="2" ht="12.75"/>
    <row r="3" spans="2:12" s="118" customFormat="1" ht="31.5" customHeight="1">
      <c r="B3" s="233" t="s">
        <v>978</v>
      </c>
      <c r="C3" s="233"/>
      <c r="D3" s="233"/>
      <c r="E3" s="233"/>
      <c r="F3" s="233"/>
      <c r="G3" s="233"/>
      <c r="H3" s="233"/>
      <c r="I3" s="233"/>
      <c r="J3" s="233"/>
      <c r="K3" s="233"/>
      <c r="L3" s="233"/>
    </row>
    <row r="4" spans="2:16" s="121" customFormat="1" ht="19.5" customHeight="1">
      <c r="B4" s="234" t="s">
        <v>104</v>
      </c>
      <c r="C4" s="235"/>
      <c r="D4" s="235"/>
      <c r="E4" s="235"/>
      <c r="F4" s="236"/>
      <c r="G4" s="119">
        <f aca="true" t="shared" si="0" ref="G4:L4">SUM(G6:G201)</f>
        <v>83311</v>
      </c>
      <c r="H4" s="120">
        <f t="shared" si="0"/>
        <v>15684818000</v>
      </c>
      <c r="I4" s="119">
        <f>SUM(I6:I201)</f>
        <v>0</v>
      </c>
      <c r="J4" s="119">
        <f t="shared" si="0"/>
        <v>0</v>
      </c>
      <c r="K4" s="119">
        <f t="shared" si="0"/>
        <v>0</v>
      </c>
      <c r="L4" s="119">
        <f t="shared" si="0"/>
        <v>0</v>
      </c>
      <c r="M4" s="119"/>
      <c r="N4" s="119"/>
      <c r="O4" s="119"/>
      <c r="P4" s="119"/>
    </row>
    <row r="5" spans="2:16" s="37" customFormat="1" ht="38.25">
      <c r="B5" s="143" t="s">
        <v>311</v>
      </c>
      <c r="C5" s="143" t="s">
        <v>312</v>
      </c>
      <c r="D5" s="144" t="s">
        <v>314</v>
      </c>
      <c r="E5" s="144" t="s">
        <v>313</v>
      </c>
      <c r="F5" s="144" t="s">
        <v>476</v>
      </c>
      <c r="G5" s="144" t="s">
        <v>315</v>
      </c>
      <c r="H5" s="145" t="s">
        <v>316</v>
      </c>
      <c r="I5" s="144" t="s">
        <v>317</v>
      </c>
      <c r="J5" s="144" t="s">
        <v>318</v>
      </c>
      <c r="K5" s="144" t="s">
        <v>309</v>
      </c>
      <c r="L5" s="144" t="s">
        <v>319</v>
      </c>
      <c r="M5" s="146" t="s">
        <v>320</v>
      </c>
      <c r="N5" s="146" t="s">
        <v>322</v>
      </c>
      <c r="O5" s="146" t="s">
        <v>310</v>
      </c>
      <c r="P5" s="146" t="s">
        <v>321</v>
      </c>
    </row>
    <row r="6" spans="2:16" ht="12.75">
      <c r="B6" s="137" t="s">
        <v>824</v>
      </c>
      <c r="C6" s="138" t="s">
        <v>323</v>
      </c>
      <c r="D6" s="131" t="s">
        <v>325</v>
      </c>
      <c r="E6" s="132" t="s">
        <v>324</v>
      </c>
      <c r="F6" s="132"/>
      <c r="G6" s="133"/>
      <c r="H6" s="125">
        <v>120000000</v>
      </c>
      <c r="I6" s="134"/>
      <c r="J6" s="134"/>
      <c r="K6" s="134"/>
      <c r="L6" s="134"/>
      <c r="M6" s="122"/>
      <c r="N6" s="122"/>
      <c r="O6" s="122"/>
      <c r="P6" s="122"/>
    </row>
    <row r="7" spans="2:16" ht="12.75">
      <c r="B7" s="137" t="s">
        <v>824</v>
      </c>
      <c r="C7" s="138" t="s">
        <v>156</v>
      </c>
      <c r="D7" s="131" t="s">
        <v>157</v>
      </c>
      <c r="E7" s="132" t="s">
        <v>324</v>
      </c>
      <c r="F7" s="132" t="s">
        <v>979</v>
      </c>
      <c r="G7" s="133">
        <v>3000</v>
      </c>
      <c r="H7" s="125">
        <f>3000*18900</f>
        <v>56700000</v>
      </c>
      <c r="I7" s="134"/>
      <c r="J7" s="134"/>
      <c r="K7" s="134"/>
      <c r="L7" s="134"/>
      <c r="M7" s="122"/>
      <c r="N7" s="122"/>
      <c r="O7" s="122"/>
      <c r="P7" s="122"/>
    </row>
    <row r="8" spans="2:16" ht="12.75">
      <c r="B8" s="137" t="s">
        <v>824</v>
      </c>
      <c r="C8" s="138" t="s">
        <v>326</v>
      </c>
      <c r="D8" s="131" t="s">
        <v>327</v>
      </c>
      <c r="E8" s="132" t="s">
        <v>324</v>
      </c>
      <c r="F8" s="132"/>
      <c r="G8" s="133"/>
      <c r="H8" s="125">
        <v>680000000</v>
      </c>
      <c r="I8" s="134"/>
      <c r="J8" s="134"/>
      <c r="K8" s="134"/>
      <c r="L8" s="134"/>
      <c r="M8" s="122"/>
      <c r="N8" s="122"/>
      <c r="O8" s="122"/>
      <c r="P8" s="122"/>
    </row>
    <row r="9" spans="2:16" ht="12.75">
      <c r="B9" s="137" t="s">
        <v>824</v>
      </c>
      <c r="C9" s="138" t="s">
        <v>158</v>
      </c>
      <c r="D9" s="131" t="s">
        <v>159</v>
      </c>
      <c r="E9" s="132" t="s">
        <v>324</v>
      </c>
      <c r="F9" s="132" t="s">
        <v>979</v>
      </c>
      <c r="G9" s="133">
        <v>10000</v>
      </c>
      <c r="H9" s="125">
        <f>10000*19100</f>
        <v>191000000</v>
      </c>
      <c r="I9" s="134"/>
      <c r="J9" s="134"/>
      <c r="K9" s="134"/>
      <c r="L9" s="134"/>
      <c r="M9" s="122"/>
      <c r="N9" s="122"/>
      <c r="O9" s="122"/>
      <c r="P9" s="122"/>
    </row>
    <row r="10" spans="2:16" ht="12.75">
      <c r="B10" s="137" t="s">
        <v>824</v>
      </c>
      <c r="C10" s="138" t="s">
        <v>328</v>
      </c>
      <c r="D10" s="131" t="s">
        <v>329</v>
      </c>
      <c r="E10" s="132" t="s">
        <v>324</v>
      </c>
      <c r="F10" s="132"/>
      <c r="G10" s="133"/>
      <c r="H10" s="125"/>
      <c r="I10" s="134"/>
      <c r="J10" s="134"/>
      <c r="K10" s="134"/>
      <c r="L10" s="134"/>
      <c r="M10" s="122"/>
      <c r="N10" s="122"/>
      <c r="O10" s="122"/>
      <c r="P10" s="122"/>
    </row>
    <row r="11" spans="2:16" ht="12.75">
      <c r="B11" s="137" t="s">
        <v>825</v>
      </c>
      <c r="C11" s="138" t="s">
        <v>333</v>
      </c>
      <c r="D11" s="131" t="s">
        <v>331</v>
      </c>
      <c r="E11" s="132" t="s">
        <v>324</v>
      </c>
      <c r="F11" s="132"/>
      <c r="G11" s="133"/>
      <c r="H11" s="125">
        <v>51200000</v>
      </c>
      <c r="I11" s="134"/>
      <c r="J11" s="134"/>
      <c r="K11" s="134"/>
      <c r="L11" s="134"/>
      <c r="M11" s="122"/>
      <c r="N11" s="122"/>
      <c r="O11" s="122"/>
      <c r="P11" s="122"/>
    </row>
    <row r="12" spans="2:16" ht="12.75">
      <c r="B12" s="137" t="s">
        <v>825</v>
      </c>
      <c r="C12" s="138" t="s">
        <v>335</v>
      </c>
      <c r="D12" s="131" t="s">
        <v>332</v>
      </c>
      <c r="E12" s="132" t="s">
        <v>324</v>
      </c>
      <c r="F12" s="132"/>
      <c r="G12" s="133"/>
      <c r="H12" s="125">
        <v>30000000</v>
      </c>
      <c r="I12" s="134"/>
      <c r="J12" s="134"/>
      <c r="K12" s="134"/>
      <c r="L12" s="134"/>
      <c r="M12" s="122"/>
      <c r="N12" s="122"/>
      <c r="O12" s="122"/>
      <c r="P12" s="122"/>
    </row>
    <row r="13" spans="2:16" ht="12.75">
      <c r="B13" s="137" t="s">
        <v>826</v>
      </c>
      <c r="C13" s="138" t="s">
        <v>330</v>
      </c>
      <c r="D13" s="131" t="s">
        <v>334</v>
      </c>
      <c r="E13" s="132" t="s">
        <v>324</v>
      </c>
      <c r="F13" s="132"/>
      <c r="G13" s="133"/>
      <c r="H13" s="125">
        <v>41241000</v>
      </c>
      <c r="I13" s="134"/>
      <c r="J13" s="134"/>
      <c r="K13" s="134"/>
      <c r="L13" s="134"/>
      <c r="M13" s="122"/>
      <c r="N13" s="122"/>
      <c r="O13" s="122"/>
      <c r="P13" s="122"/>
    </row>
    <row r="14" spans="2:16" ht="12.75">
      <c r="B14" s="137" t="s">
        <v>826</v>
      </c>
      <c r="C14" s="138" t="s">
        <v>713</v>
      </c>
      <c r="D14" s="131" t="s">
        <v>336</v>
      </c>
      <c r="E14" s="132" t="s">
        <v>324</v>
      </c>
      <c r="F14" s="132"/>
      <c r="G14" s="133"/>
      <c r="H14" s="125"/>
      <c r="I14" s="134"/>
      <c r="J14" s="134"/>
      <c r="K14" s="134"/>
      <c r="L14" s="134"/>
      <c r="M14" s="122"/>
      <c r="N14" s="122"/>
      <c r="O14" s="122"/>
      <c r="P14" s="122"/>
    </row>
    <row r="15" spans="2:16" ht="12.75">
      <c r="B15" s="137" t="s">
        <v>826</v>
      </c>
      <c r="C15" s="138" t="s">
        <v>714</v>
      </c>
      <c r="D15" s="131" t="s">
        <v>337</v>
      </c>
      <c r="E15" s="132" t="s">
        <v>324</v>
      </c>
      <c r="F15" s="132"/>
      <c r="G15" s="133"/>
      <c r="H15" s="125">
        <v>50000000</v>
      </c>
      <c r="I15" s="134"/>
      <c r="J15" s="134"/>
      <c r="K15" s="134"/>
      <c r="L15" s="134"/>
      <c r="M15" s="122"/>
      <c r="N15" s="122"/>
      <c r="O15" s="122"/>
      <c r="P15" s="122"/>
    </row>
    <row r="16" spans="2:16" ht="12.75">
      <c r="B16" s="137" t="s">
        <v>826</v>
      </c>
      <c r="C16" s="138" t="s">
        <v>715</v>
      </c>
      <c r="D16" s="131" t="s">
        <v>338</v>
      </c>
      <c r="E16" s="132" t="s">
        <v>324</v>
      </c>
      <c r="F16" s="132"/>
      <c r="G16" s="133"/>
      <c r="H16" s="125"/>
      <c r="I16" s="134"/>
      <c r="J16" s="134"/>
      <c r="K16" s="134"/>
      <c r="L16" s="134"/>
      <c r="M16" s="122"/>
      <c r="N16" s="122"/>
      <c r="O16" s="122"/>
      <c r="P16" s="122"/>
    </row>
    <row r="17" spans="2:16" ht="12.75">
      <c r="B17" s="137" t="s">
        <v>827</v>
      </c>
      <c r="C17" s="138" t="s">
        <v>340</v>
      </c>
      <c r="D17" s="131" t="s">
        <v>742</v>
      </c>
      <c r="E17" s="132" t="s">
        <v>324</v>
      </c>
      <c r="F17" s="132"/>
      <c r="G17" s="133"/>
      <c r="H17" s="125">
        <v>20000000</v>
      </c>
      <c r="I17" s="134"/>
      <c r="J17" s="134"/>
      <c r="K17" s="134"/>
      <c r="L17" s="134"/>
      <c r="M17" s="122"/>
      <c r="N17" s="122"/>
      <c r="O17" s="122"/>
      <c r="P17" s="122"/>
    </row>
    <row r="18" spans="2:16" ht="12.75">
      <c r="B18" s="137" t="s">
        <v>827</v>
      </c>
      <c r="C18" s="138" t="s">
        <v>341</v>
      </c>
      <c r="D18" s="131" t="s">
        <v>980</v>
      </c>
      <c r="E18" s="132" t="s">
        <v>324</v>
      </c>
      <c r="F18" s="132"/>
      <c r="G18" s="133"/>
      <c r="H18" s="125">
        <v>45000000</v>
      </c>
      <c r="I18" s="134"/>
      <c r="J18" s="134"/>
      <c r="K18" s="134"/>
      <c r="L18" s="134"/>
      <c r="M18" s="122"/>
      <c r="N18" s="122"/>
      <c r="O18" s="122"/>
      <c r="P18" s="122"/>
    </row>
    <row r="19" spans="2:16" ht="12.75">
      <c r="B19" s="137" t="s">
        <v>827</v>
      </c>
      <c r="C19" s="138" t="s">
        <v>342</v>
      </c>
      <c r="D19" s="131" t="s">
        <v>743</v>
      </c>
      <c r="E19" s="132" t="s">
        <v>324</v>
      </c>
      <c r="F19" s="132"/>
      <c r="G19" s="133"/>
      <c r="H19" s="125">
        <v>-80000000</v>
      </c>
      <c r="I19" s="134"/>
      <c r="J19" s="134"/>
      <c r="K19" s="134"/>
      <c r="L19" s="134"/>
      <c r="M19" s="122"/>
      <c r="N19" s="122"/>
      <c r="O19" s="122"/>
      <c r="P19" s="122"/>
    </row>
    <row r="20" spans="2:16" ht="12.75">
      <c r="B20" s="137" t="s">
        <v>827</v>
      </c>
      <c r="C20" s="138" t="s">
        <v>343</v>
      </c>
      <c r="D20" s="131" t="s">
        <v>744</v>
      </c>
      <c r="E20" s="132" t="s">
        <v>324</v>
      </c>
      <c r="F20" s="132"/>
      <c r="G20" s="133"/>
      <c r="H20" s="125">
        <v>-40000000</v>
      </c>
      <c r="I20" s="134"/>
      <c r="J20" s="134"/>
      <c r="K20" s="134"/>
      <c r="L20" s="134"/>
      <c r="M20" s="122"/>
      <c r="N20" s="122"/>
      <c r="O20" s="122"/>
      <c r="P20" s="122"/>
    </row>
    <row r="21" spans="2:16" ht="12.75">
      <c r="B21" s="137" t="s">
        <v>827</v>
      </c>
      <c r="C21" s="138" t="s">
        <v>344</v>
      </c>
      <c r="D21" s="131" t="s">
        <v>981</v>
      </c>
      <c r="E21" s="132" t="s">
        <v>324</v>
      </c>
      <c r="F21" s="132"/>
      <c r="G21" s="133"/>
      <c r="H21" s="125">
        <v>-30000000</v>
      </c>
      <c r="I21" s="134"/>
      <c r="J21" s="134"/>
      <c r="K21" s="134"/>
      <c r="L21" s="134"/>
      <c r="M21" s="122"/>
      <c r="N21" s="122"/>
      <c r="O21" s="122"/>
      <c r="P21" s="122"/>
    </row>
    <row r="22" spans="2:16" ht="12.75">
      <c r="B22" s="137" t="s">
        <v>827</v>
      </c>
      <c r="C22" s="138" t="s">
        <v>345</v>
      </c>
      <c r="D22" s="131" t="s">
        <v>969</v>
      </c>
      <c r="E22" s="132" t="s">
        <v>324</v>
      </c>
      <c r="F22" s="132"/>
      <c r="G22" s="133"/>
      <c r="H22" s="125"/>
      <c r="I22" s="134"/>
      <c r="J22" s="134"/>
      <c r="K22" s="134"/>
      <c r="L22" s="134"/>
      <c r="M22" s="122"/>
      <c r="N22" s="122"/>
      <c r="O22" s="122"/>
      <c r="P22" s="122"/>
    </row>
    <row r="23" spans="2:16" ht="12.75">
      <c r="B23" s="137" t="s">
        <v>827</v>
      </c>
      <c r="C23" s="138" t="s">
        <v>346</v>
      </c>
      <c r="D23" s="131" t="s">
        <v>982</v>
      </c>
      <c r="E23" s="132" t="s">
        <v>324</v>
      </c>
      <c r="F23" s="132"/>
      <c r="G23" s="133"/>
      <c r="H23" s="125">
        <v>25000000</v>
      </c>
      <c r="I23" s="134"/>
      <c r="J23" s="134"/>
      <c r="K23" s="134"/>
      <c r="L23" s="134"/>
      <c r="M23" s="122"/>
      <c r="N23" s="122"/>
      <c r="O23" s="122"/>
      <c r="P23" s="122"/>
    </row>
    <row r="24" spans="2:16" ht="12.75">
      <c r="B24" s="139" t="s">
        <v>828</v>
      </c>
      <c r="C24" s="138" t="s">
        <v>347</v>
      </c>
      <c r="D24" s="131" t="s">
        <v>745</v>
      </c>
      <c r="E24" s="132" t="s">
        <v>324</v>
      </c>
      <c r="F24" s="132"/>
      <c r="G24" s="133"/>
      <c r="H24" s="125"/>
      <c r="I24" s="134"/>
      <c r="J24" s="134"/>
      <c r="K24" s="134"/>
      <c r="L24" s="134"/>
      <c r="M24" s="122"/>
      <c r="N24" s="122"/>
      <c r="O24" s="122"/>
      <c r="P24" s="122"/>
    </row>
    <row r="25" spans="2:16" ht="12.75">
      <c r="B25" s="139" t="s">
        <v>828</v>
      </c>
      <c r="C25" s="138" t="s">
        <v>348</v>
      </c>
      <c r="D25" s="131" t="s">
        <v>970</v>
      </c>
      <c r="E25" s="132" t="s">
        <v>324</v>
      </c>
      <c r="F25" s="132"/>
      <c r="G25" s="133"/>
      <c r="H25" s="125"/>
      <c r="I25" s="134"/>
      <c r="J25" s="134"/>
      <c r="K25" s="134"/>
      <c r="L25" s="134"/>
      <c r="M25" s="122"/>
      <c r="N25" s="122"/>
      <c r="O25" s="122"/>
      <c r="P25" s="122"/>
    </row>
    <row r="26" spans="2:16" ht="12.75">
      <c r="B26" s="139" t="s">
        <v>828</v>
      </c>
      <c r="C26" s="138" t="s">
        <v>349</v>
      </c>
      <c r="D26" s="131" t="s">
        <v>746</v>
      </c>
      <c r="E26" s="132" t="s">
        <v>324</v>
      </c>
      <c r="F26" s="132"/>
      <c r="G26" s="133"/>
      <c r="H26" s="125"/>
      <c r="I26" s="134"/>
      <c r="J26" s="134"/>
      <c r="K26" s="134"/>
      <c r="L26" s="134"/>
      <c r="M26" s="122"/>
      <c r="N26" s="122"/>
      <c r="O26" s="122"/>
      <c r="P26" s="122"/>
    </row>
    <row r="27" spans="2:16" ht="12.75">
      <c r="B27" s="139" t="s">
        <v>828</v>
      </c>
      <c r="C27" s="138" t="s">
        <v>350</v>
      </c>
      <c r="D27" s="131" t="s">
        <v>747</v>
      </c>
      <c r="E27" s="132" t="s">
        <v>324</v>
      </c>
      <c r="F27" s="132"/>
      <c r="G27" s="133"/>
      <c r="H27" s="125"/>
      <c r="I27" s="134"/>
      <c r="J27" s="134"/>
      <c r="K27" s="134"/>
      <c r="L27" s="134"/>
      <c r="M27" s="122"/>
      <c r="N27" s="122"/>
      <c r="O27" s="122"/>
      <c r="P27" s="122"/>
    </row>
    <row r="28" spans="2:16" ht="12.75">
      <c r="B28" s="139" t="s">
        <v>828</v>
      </c>
      <c r="C28" s="138" t="s">
        <v>351</v>
      </c>
      <c r="D28" s="131" t="s">
        <v>983</v>
      </c>
      <c r="E28" s="132" t="s">
        <v>324</v>
      </c>
      <c r="F28" s="132"/>
      <c r="G28" s="133"/>
      <c r="H28" s="125"/>
      <c r="I28" s="134"/>
      <c r="J28" s="134"/>
      <c r="K28" s="134"/>
      <c r="L28" s="134"/>
      <c r="M28" s="122"/>
      <c r="N28" s="122"/>
      <c r="O28" s="122"/>
      <c r="P28" s="122"/>
    </row>
    <row r="29" spans="2:16" ht="12.75">
      <c r="B29" s="139" t="s">
        <v>828</v>
      </c>
      <c r="C29" s="138" t="s">
        <v>352</v>
      </c>
      <c r="D29" s="131" t="s">
        <v>984</v>
      </c>
      <c r="E29" s="132" t="s">
        <v>324</v>
      </c>
      <c r="F29" s="132"/>
      <c r="G29" s="133"/>
      <c r="H29" s="125"/>
      <c r="I29" s="134"/>
      <c r="J29" s="134"/>
      <c r="K29" s="134"/>
      <c r="L29" s="134"/>
      <c r="M29" s="122"/>
      <c r="N29" s="122"/>
      <c r="O29" s="122"/>
      <c r="P29" s="122"/>
    </row>
    <row r="30" spans="2:16" ht="12.75">
      <c r="B30" s="139" t="s">
        <v>828</v>
      </c>
      <c r="C30" s="138" t="s">
        <v>353</v>
      </c>
      <c r="D30" s="131" t="s">
        <v>985</v>
      </c>
      <c r="E30" s="132" t="s">
        <v>324</v>
      </c>
      <c r="F30" s="132"/>
      <c r="G30" s="133"/>
      <c r="H30" s="125">
        <v>140000000</v>
      </c>
      <c r="I30" s="134"/>
      <c r="J30" s="134"/>
      <c r="K30" s="134"/>
      <c r="L30" s="134"/>
      <c r="M30" s="122"/>
      <c r="N30" s="122"/>
      <c r="O30" s="122"/>
      <c r="P30" s="122"/>
    </row>
    <row r="31" spans="2:16" ht="12.75">
      <c r="B31" s="137" t="s">
        <v>829</v>
      </c>
      <c r="C31" s="138" t="s">
        <v>354</v>
      </c>
      <c r="D31" s="131" t="s">
        <v>355</v>
      </c>
      <c r="E31" s="132" t="s">
        <v>324</v>
      </c>
      <c r="F31" s="132"/>
      <c r="G31" s="133"/>
      <c r="H31" s="125"/>
      <c r="I31" s="134"/>
      <c r="J31" s="134"/>
      <c r="K31" s="134"/>
      <c r="L31" s="134"/>
      <c r="M31" s="122"/>
      <c r="N31" s="122"/>
      <c r="O31" s="122"/>
      <c r="P31" s="122"/>
    </row>
    <row r="32" spans="2:16" ht="12.75">
      <c r="B32" s="137" t="s">
        <v>829</v>
      </c>
      <c r="C32" s="138" t="s">
        <v>356</v>
      </c>
      <c r="D32" s="131" t="s">
        <v>357</v>
      </c>
      <c r="E32" s="132" t="s">
        <v>324</v>
      </c>
      <c r="F32" s="132"/>
      <c r="G32" s="133"/>
      <c r="H32" s="125"/>
      <c r="I32" s="134"/>
      <c r="J32" s="134"/>
      <c r="K32" s="134"/>
      <c r="L32" s="134"/>
      <c r="M32" s="122"/>
      <c r="N32" s="122"/>
      <c r="O32" s="122"/>
      <c r="P32" s="122"/>
    </row>
    <row r="33" spans="2:16" s="123" customFormat="1" ht="12.75">
      <c r="B33" s="137" t="s">
        <v>829</v>
      </c>
      <c r="C33" s="138" t="s">
        <v>358</v>
      </c>
      <c r="D33" s="131" t="s">
        <v>359</v>
      </c>
      <c r="E33" s="132" t="s">
        <v>324</v>
      </c>
      <c r="F33" s="132"/>
      <c r="G33" s="133"/>
      <c r="H33" s="125">
        <v>1500000</v>
      </c>
      <c r="I33" s="134"/>
      <c r="J33" s="134"/>
      <c r="K33" s="134"/>
      <c r="L33" s="134"/>
      <c r="M33" s="122"/>
      <c r="N33" s="122"/>
      <c r="O33" s="122"/>
      <c r="P33" s="122"/>
    </row>
    <row r="34" spans="2:16" ht="12.75">
      <c r="B34" s="137" t="s">
        <v>830</v>
      </c>
      <c r="C34" s="138" t="s">
        <v>716</v>
      </c>
      <c r="D34" s="131" t="s">
        <v>360</v>
      </c>
      <c r="E34" s="132" t="s">
        <v>324</v>
      </c>
      <c r="F34" s="132"/>
      <c r="G34" s="133"/>
      <c r="H34" s="125">
        <v>1000000</v>
      </c>
      <c r="I34" s="134"/>
      <c r="J34" s="134"/>
      <c r="K34" s="134"/>
      <c r="L34" s="134"/>
      <c r="M34" s="122"/>
      <c r="N34" s="122"/>
      <c r="O34" s="122"/>
      <c r="P34" s="122"/>
    </row>
    <row r="35" spans="2:16" ht="12.75">
      <c r="B35" s="137" t="s">
        <v>831</v>
      </c>
      <c r="C35" s="138" t="s">
        <v>717</v>
      </c>
      <c r="D35" s="131" t="s">
        <v>361</v>
      </c>
      <c r="E35" s="132" t="s">
        <v>324</v>
      </c>
      <c r="F35" s="132"/>
      <c r="G35" s="133"/>
      <c r="H35" s="125">
        <v>2000000</v>
      </c>
      <c r="I35" s="134"/>
      <c r="J35" s="134"/>
      <c r="K35" s="134"/>
      <c r="L35" s="134"/>
      <c r="M35" s="122"/>
      <c r="N35" s="122"/>
      <c r="O35" s="122"/>
      <c r="P35" s="122"/>
    </row>
    <row r="36" spans="2:16" ht="12.75">
      <c r="B36" s="137" t="s">
        <v>832</v>
      </c>
      <c r="C36" s="138" t="s">
        <v>308</v>
      </c>
      <c r="D36" s="131" t="s">
        <v>362</v>
      </c>
      <c r="E36" s="132" t="s">
        <v>324</v>
      </c>
      <c r="F36" s="132"/>
      <c r="G36" s="133"/>
      <c r="H36" s="125"/>
      <c r="I36" s="134"/>
      <c r="J36" s="134"/>
      <c r="K36" s="134"/>
      <c r="L36" s="134"/>
      <c r="M36" s="122"/>
      <c r="N36" s="122"/>
      <c r="O36" s="122"/>
      <c r="P36" s="122"/>
    </row>
    <row r="37" spans="2:16" s="123" customFormat="1" ht="12.75">
      <c r="B37" s="137" t="s">
        <v>832</v>
      </c>
      <c r="C37" s="138" t="s">
        <v>363</v>
      </c>
      <c r="D37" s="131" t="s">
        <v>364</v>
      </c>
      <c r="E37" s="132" t="s">
        <v>324</v>
      </c>
      <c r="F37" s="132"/>
      <c r="G37" s="133"/>
      <c r="H37" s="125">
        <v>1000000</v>
      </c>
      <c r="I37" s="134"/>
      <c r="J37" s="134"/>
      <c r="K37" s="134"/>
      <c r="L37" s="134"/>
      <c r="M37" s="122"/>
      <c r="N37" s="122"/>
      <c r="O37" s="122"/>
      <c r="P37" s="122"/>
    </row>
    <row r="38" spans="2:16" s="123" customFormat="1" ht="12.75">
      <c r="B38" s="137" t="s">
        <v>832</v>
      </c>
      <c r="C38" s="138" t="s">
        <v>365</v>
      </c>
      <c r="D38" s="131" t="s">
        <v>366</v>
      </c>
      <c r="E38" s="132" t="s">
        <v>324</v>
      </c>
      <c r="F38" s="132"/>
      <c r="G38" s="133"/>
      <c r="H38" s="125">
        <v>500000</v>
      </c>
      <c r="I38" s="134"/>
      <c r="J38" s="134"/>
      <c r="K38" s="134"/>
      <c r="L38" s="134"/>
      <c r="M38" s="122"/>
      <c r="N38" s="122"/>
      <c r="O38" s="122"/>
      <c r="P38" s="122"/>
    </row>
    <row r="39" spans="2:16" s="123" customFormat="1" ht="12.75">
      <c r="B39" s="137" t="s">
        <v>832</v>
      </c>
      <c r="C39" s="138" t="s">
        <v>367</v>
      </c>
      <c r="D39" s="131" t="s">
        <v>368</v>
      </c>
      <c r="E39" s="132" t="s">
        <v>324</v>
      </c>
      <c r="F39" s="132"/>
      <c r="G39" s="133"/>
      <c r="H39" s="125">
        <v>300000</v>
      </c>
      <c r="I39" s="134"/>
      <c r="J39" s="134"/>
      <c r="K39" s="134"/>
      <c r="L39" s="134"/>
      <c r="M39" s="122"/>
      <c r="N39" s="122"/>
      <c r="O39" s="122"/>
      <c r="P39" s="122"/>
    </row>
    <row r="40" spans="2:16" ht="12.75">
      <c r="B40" s="137" t="s">
        <v>832</v>
      </c>
      <c r="C40" s="138" t="s">
        <v>369</v>
      </c>
      <c r="D40" s="131" t="s">
        <v>370</v>
      </c>
      <c r="E40" s="132" t="s">
        <v>324</v>
      </c>
      <c r="F40" s="132"/>
      <c r="G40" s="133"/>
      <c r="H40" s="125">
        <v>200000</v>
      </c>
      <c r="I40" s="134"/>
      <c r="J40" s="134"/>
      <c r="K40" s="134"/>
      <c r="L40" s="134"/>
      <c r="M40" s="122"/>
      <c r="N40" s="122"/>
      <c r="O40" s="122"/>
      <c r="P40" s="122"/>
    </row>
    <row r="41" spans="2:16" ht="12.75">
      <c r="B41" s="137" t="s">
        <v>832</v>
      </c>
      <c r="C41" s="138" t="s">
        <v>373</v>
      </c>
      <c r="D41" s="131" t="s">
        <v>193</v>
      </c>
      <c r="E41" s="132" t="s">
        <v>324</v>
      </c>
      <c r="F41" s="132"/>
      <c r="G41" s="133"/>
      <c r="H41" s="125"/>
      <c r="I41" s="134"/>
      <c r="J41" s="134"/>
      <c r="K41" s="134"/>
      <c r="L41" s="134"/>
      <c r="M41" s="122"/>
      <c r="N41" s="122"/>
      <c r="O41" s="122"/>
      <c r="P41" s="122"/>
    </row>
    <row r="42" spans="2:16" ht="12.75">
      <c r="B42" s="137" t="s">
        <v>832</v>
      </c>
      <c r="C42" s="138" t="s">
        <v>374</v>
      </c>
      <c r="D42" s="131" t="s">
        <v>602</v>
      </c>
      <c r="E42" s="132" t="s">
        <v>324</v>
      </c>
      <c r="F42" s="132"/>
      <c r="G42" s="133"/>
      <c r="H42" s="125">
        <v>3000000</v>
      </c>
      <c r="I42" s="134"/>
      <c r="J42" s="134"/>
      <c r="K42" s="134"/>
      <c r="L42" s="134"/>
      <c r="M42" s="122"/>
      <c r="N42" s="122"/>
      <c r="O42" s="122"/>
      <c r="P42" s="122"/>
    </row>
    <row r="43" spans="2:16" ht="12.75">
      <c r="B43" s="139" t="s">
        <v>833</v>
      </c>
      <c r="C43" s="138" t="s">
        <v>797</v>
      </c>
      <c r="D43" s="131" t="s">
        <v>796</v>
      </c>
      <c r="E43" s="132" t="s">
        <v>324</v>
      </c>
      <c r="F43" s="33" t="s">
        <v>139</v>
      </c>
      <c r="G43" s="133">
        <v>5000</v>
      </c>
      <c r="H43" s="125">
        <f>5000*19350</f>
        <v>96750000</v>
      </c>
      <c r="I43" s="134"/>
      <c r="J43" s="134"/>
      <c r="K43" s="134"/>
      <c r="L43" s="134"/>
      <c r="M43" s="122"/>
      <c r="N43" s="122"/>
      <c r="O43" s="122"/>
      <c r="P43" s="122"/>
    </row>
    <row r="44" spans="2:16" ht="12.75">
      <c r="B44" s="139" t="s">
        <v>833</v>
      </c>
      <c r="C44" s="138" t="s">
        <v>375</v>
      </c>
      <c r="D44" s="131" t="s">
        <v>786</v>
      </c>
      <c r="E44" s="132" t="s">
        <v>324</v>
      </c>
      <c r="F44" s="33" t="s">
        <v>139</v>
      </c>
      <c r="G44" s="133">
        <v>11000</v>
      </c>
      <c r="H44" s="125">
        <f>11000*19300</f>
        <v>212300000</v>
      </c>
      <c r="I44" s="134"/>
      <c r="J44" s="134"/>
      <c r="K44" s="134"/>
      <c r="L44" s="134"/>
      <c r="M44" s="122"/>
      <c r="N44" s="122"/>
      <c r="O44" s="122"/>
      <c r="P44" s="122"/>
    </row>
    <row r="45" spans="2:16" ht="12.75">
      <c r="B45" s="139" t="s">
        <v>833</v>
      </c>
      <c r="C45" s="138" t="s">
        <v>376</v>
      </c>
      <c r="D45" s="131" t="s">
        <v>782</v>
      </c>
      <c r="E45" s="132" t="s">
        <v>324</v>
      </c>
      <c r="F45" s="33" t="s">
        <v>141</v>
      </c>
      <c r="G45" s="133">
        <v>50000</v>
      </c>
      <c r="H45" s="125">
        <f>50000*10000</f>
        <v>500000000</v>
      </c>
      <c r="I45" s="134"/>
      <c r="J45" s="134"/>
      <c r="K45" s="134"/>
      <c r="L45" s="134"/>
      <c r="M45" s="122"/>
      <c r="N45" s="122"/>
      <c r="O45" s="122"/>
      <c r="P45" s="122"/>
    </row>
    <row r="46" spans="2:16" ht="12.75">
      <c r="B46" s="139" t="s">
        <v>833</v>
      </c>
      <c r="C46" s="138" t="s">
        <v>377</v>
      </c>
      <c r="D46" s="131" t="s">
        <v>781</v>
      </c>
      <c r="E46" s="132" t="s">
        <v>324</v>
      </c>
      <c r="F46" s="33" t="s">
        <v>141</v>
      </c>
      <c r="G46" s="133">
        <v>500</v>
      </c>
      <c r="H46" s="125">
        <f>500*7500</f>
        <v>3750000</v>
      </c>
      <c r="I46" s="134"/>
      <c r="J46" s="134"/>
      <c r="K46" s="134"/>
      <c r="L46" s="134"/>
      <c r="M46" s="122"/>
      <c r="N46" s="122"/>
      <c r="O46" s="122"/>
      <c r="P46" s="122"/>
    </row>
    <row r="47" spans="2:16" ht="12.75">
      <c r="B47" s="139" t="s">
        <v>833</v>
      </c>
      <c r="C47" s="138" t="s">
        <v>378</v>
      </c>
      <c r="D47" s="131" t="s">
        <v>780</v>
      </c>
      <c r="E47" s="132" t="s">
        <v>324</v>
      </c>
      <c r="F47" s="33" t="s">
        <v>140</v>
      </c>
      <c r="G47" s="133">
        <v>1000</v>
      </c>
      <c r="H47" s="125">
        <f>1000*16200</f>
        <v>16200000</v>
      </c>
      <c r="I47" s="134"/>
      <c r="J47" s="134"/>
      <c r="K47" s="134"/>
      <c r="L47" s="134"/>
      <c r="M47" s="122"/>
      <c r="N47" s="122"/>
      <c r="O47" s="122"/>
      <c r="P47" s="122"/>
    </row>
    <row r="48" spans="2:16" ht="12.75">
      <c r="B48" s="139" t="s">
        <v>833</v>
      </c>
      <c r="C48" s="138" t="s">
        <v>379</v>
      </c>
      <c r="D48" s="131" t="s">
        <v>783</v>
      </c>
      <c r="E48" s="132" t="s">
        <v>324</v>
      </c>
      <c r="F48" s="33" t="s">
        <v>139</v>
      </c>
      <c r="G48" s="133">
        <v>2000</v>
      </c>
      <c r="H48" s="125">
        <f>2000*2100</f>
        <v>4200000</v>
      </c>
      <c r="I48" s="134"/>
      <c r="J48" s="134"/>
      <c r="K48" s="134"/>
      <c r="L48" s="134"/>
      <c r="M48" s="122"/>
      <c r="N48" s="122"/>
      <c r="O48" s="122"/>
      <c r="P48" s="122"/>
    </row>
    <row r="49" spans="2:16" ht="12.75">
      <c r="B49" s="139" t="s">
        <v>833</v>
      </c>
      <c r="C49" s="138" t="s">
        <v>380</v>
      </c>
      <c r="D49" s="131" t="s">
        <v>784</v>
      </c>
      <c r="E49" s="132" t="s">
        <v>324</v>
      </c>
      <c r="F49" s="33" t="s">
        <v>139</v>
      </c>
      <c r="G49" s="133">
        <v>51</v>
      </c>
      <c r="H49" s="125">
        <v>918000</v>
      </c>
      <c r="I49" s="134"/>
      <c r="J49" s="134"/>
      <c r="K49" s="134"/>
      <c r="L49" s="134"/>
      <c r="M49" s="122"/>
      <c r="N49" s="122"/>
      <c r="O49" s="122"/>
      <c r="P49" s="122"/>
    </row>
    <row r="50" spans="2:16" ht="12.75">
      <c r="B50" s="139" t="s">
        <v>833</v>
      </c>
      <c r="C50" s="138" t="s">
        <v>718</v>
      </c>
      <c r="D50" s="131" t="s">
        <v>785</v>
      </c>
      <c r="E50" s="132" t="s">
        <v>324</v>
      </c>
      <c r="F50" s="33" t="s">
        <v>140</v>
      </c>
      <c r="G50" s="133">
        <v>100</v>
      </c>
      <c r="H50" s="125">
        <v>24500000</v>
      </c>
      <c r="I50" s="134"/>
      <c r="J50" s="134"/>
      <c r="K50" s="134"/>
      <c r="L50" s="134"/>
      <c r="M50" s="122"/>
      <c r="N50" s="122"/>
      <c r="O50" s="122"/>
      <c r="P50" s="122"/>
    </row>
    <row r="51" spans="2:16" ht="12.75">
      <c r="B51" s="139" t="s">
        <v>833</v>
      </c>
      <c r="C51" s="138" t="s">
        <v>719</v>
      </c>
      <c r="D51" s="131" t="s">
        <v>787</v>
      </c>
      <c r="E51" s="132" t="s">
        <v>324</v>
      </c>
      <c r="F51" s="33" t="s">
        <v>140</v>
      </c>
      <c r="G51" s="133"/>
      <c r="H51" s="125"/>
      <c r="I51" s="134"/>
      <c r="J51" s="134"/>
      <c r="K51" s="134"/>
      <c r="L51" s="134"/>
      <c r="M51" s="122"/>
      <c r="N51" s="122"/>
      <c r="O51" s="122"/>
      <c r="P51" s="122"/>
    </row>
    <row r="52" spans="2:16" ht="12.75">
      <c r="B52" s="139" t="s">
        <v>833</v>
      </c>
      <c r="C52" s="138" t="s">
        <v>381</v>
      </c>
      <c r="D52" s="131" t="s">
        <v>794</v>
      </c>
      <c r="E52" s="132" t="s">
        <v>324</v>
      </c>
      <c r="F52" s="132"/>
      <c r="G52" s="133"/>
      <c r="H52" s="125">
        <v>2550000</v>
      </c>
      <c r="I52" s="134"/>
      <c r="J52" s="134"/>
      <c r="K52" s="134"/>
      <c r="L52" s="134"/>
      <c r="M52" s="122"/>
      <c r="N52" s="122"/>
      <c r="O52" s="122"/>
      <c r="P52" s="122"/>
    </row>
    <row r="53" spans="2:16" ht="12.75">
      <c r="B53" s="139" t="s">
        <v>833</v>
      </c>
      <c r="C53" s="140" t="s">
        <v>382</v>
      </c>
      <c r="D53" s="131" t="s">
        <v>795</v>
      </c>
      <c r="E53" s="132" t="s">
        <v>324</v>
      </c>
      <c r="F53" s="132"/>
      <c r="G53" s="133"/>
      <c r="H53" s="125">
        <v>1200000</v>
      </c>
      <c r="I53" s="134"/>
      <c r="J53" s="134"/>
      <c r="K53" s="134"/>
      <c r="L53" s="134"/>
      <c r="M53" s="122"/>
      <c r="N53" s="122"/>
      <c r="O53" s="122"/>
      <c r="P53" s="122"/>
    </row>
    <row r="54" spans="2:16" s="124" customFormat="1" ht="12.75">
      <c r="B54" s="139" t="s">
        <v>833</v>
      </c>
      <c r="C54" s="138" t="s">
        <v>383</v>
      </c>
      <c r="D54" s="131" t="s">
        <v>792</v>
      </c>
      <c r="E54" s="132" t="s">
        <v>324</v>
      </c>
      <c r="F54" s="132" t="s">
        <v>793</v>
      </c>
      <c r="G54" s="133"/>
      <c r="H54" s="125"/>
      <c r="I54" s="134"/>
      <c r="J54" s="134"/>
      <c r="K54" s="134"/>
      <c r="L54" s="134"/>
      <c r="M54" s="122"/>
      <c r="N54" s="122"/>
      <c r="O54" s="122"/>
      <c r="P54" s="122"/>
    </row>
    <row r="55" spans="2:16" ht="12.75">
      <c r="B55" s="139" t="s">
        <v>833</v>
      </c>
      <c r="C55" s="138" t="s">
        <v>384</v>
      </c>
      <c r="D55" s="131" t="s">
        <v>788</v>
      </c>
      <c r="E55" s="132" t="s">
        <v>324</v>
      </c>
      <c r="F55" s="33" t="s">
        <v>139</v>
      </c>
      <c r="G55" s="133">
        <v>400</v>
      </c>
      <c r="H55" s="125">
        <f>G55*400000</f>
        <v>160000000</v>
      </c>
      <c r="I55" s="134"/>
      <c r="J55" s="134"/>
      <c r="K55" s="134"/>
      <c r="L55" s="134"/>
      <c r="M55" s="122"/>
      <c r="N55" s="122"/>
      <c r="O55" s="122"/>
      <c r="P55" s="122"/>
    </row>
    <row r="56" spans="2:16" ht="12.75">
      <c r="B56" s="139" t="s">
        <v>833</v>
      </c>
      <c r="C56" s="138" t="s">
        <v>385</v>
      </c>
      <c r="D56" s="131" t="s">
        <v>789</v>
      </c>
      <c r="E56" s="132" t="s">
        <v>324</v>
      </c>
      <c r="F56" s="33" t="s">
        <v>140</v>
      </c>
      <c r="G56" s="133">
        <v>200</v>
      </c>
      <c r="H56" s="125">
        <f>G56*318000</f>
        <v>63600000</v>
      </c>
      <c r="I56" s="134"/>
      <c r="J56" s="134"/>
      <c r="K56" s="134"/>
      <c r="L56" s="134"/>
      <c r="M56" s="122"/>
      <c r="N56" s="122"/>
      <c r="O56" s="122"/>
      <c r="P56" s="122"/>
    </row>
    <row r="57" spans="2:16" s="123" customFormat="1" ht="12.75">
      <c r="B57" s="139" t="s">
        <v>833</v>
      </c>
      <c r="C57" s="138" t="s">
        <v>720</v>
      </c>
      <c r="D57" s="131" t="s">
        <v>790</v>
      </c>
      <c r="E57" s="132" t="s">
        <v>324</v>
      </c>
      <c r="F57" s="33" t="s">
        <v>139</v>
      </c>
      <c r="G57" s="133"/>
      <c r="H57" s="125"/>
      <c r="I57" s="134"/>
      <c r="J57" s="134"/>
      <c r="K57" s="134"/>
      <c r="L57" s="134"/>
      <c r="M57" s="122"/>
      <c r="N57" s="122"/>
      <c r="O57" s="122"/>
      <c r="P57" s="122"/>
    </row>
    <row r="58" spans="2:16" ht="12.75">
      <c r="B58" s="139" t="s">
        <v>833</v>
      </c>
      <c r="C58" s="138" t="s">
        <v>386</v>
      </c>
      <c r="D58" s="131" t="s">
        <v>791</v>
      </c>
      <c r="E58" s="132" t="s">
        <v>324</v>
      </c>
      <c r="F58" s="132" t="s">
        <v>609</v>
      </c>
      <c r="G58" s="133">
        <v>60</v>
      </c>
      <c r="H58" s="125">
        <v>20000000</v>
      </c>
      <c r="I58" s="134"/>
      <c r="J58" s="134"/>
      <c r="K58" s="134"/>
      <c r="L58" s="134"/>
      <c r="M58" s="122"/>
      <c r="N58" s="122"/>
      <c r="O58" s="122"/>
      <c r="P58" s="122"/>
    </row>
    <row r="59" spans="2:16" ht="12.75">
      <c r="B59" s="139" t="s">
        <v>834</v>
      </c>
      <c r="C59" s="138" t="s">
        <v>387</v>
      </c>
      <c r="D59" s="131" t="s">
        <v>388</v>
      </c>
      <c r="E59" s="132" t="s">
        <v>324</v>
      </c>
      <c r="F59" s="132"/>
      <c r="G59" s="133"/>
      <c r="H59" s="125">
        <v>3456800000</v>
      </c>
      <c r="I59" s="134"/>
      <c r="J59" s="134"/>
      <c r="K59" s="134"/>
      <c r="L59" s="134"/>
      <c r="M59" s="122"/>
      <c r="N59" s="122"/>
      <c r="O59" s="122"/>
      <c r="P59" s="122"/>
    </row>
    <row r="60" spans="2:16" ht="12.75">
      <c r="B60" s="139" t="s">
        <v>835</v>
      </c>
      <c r="C60" s="138" t="s">
        <v>389</v>
      </c>
      <c r="D60" s="131" t="s">
        <v>390</v>
      </c>
      <c r="E60" s="132" t="s">
        <v>324</v>
      </c>
      <c r="F60" s="132"/>
      <c r="G60" s="133"/>
      <c r="H60" s="125">
        <v>300000000</v>
      </c>
      <c r="I60" s="134"/>
      <c r="J60" s="134"/>
      <c r="K60" s="134"/>
      <c r="L60" s="134"/>
      <c r="M60" s="122"/>
      <c r="N60" s="122"/>
      <c r="O60" s="122"/>
      <c r="P60" s="122"/>
    </row>
    <row r="61" spans="2:16" ht="12.75">
      <c r="B61" s="139" t="s">
        <v>836</v>
      </c>
      <c r="C61" s="138" t="s">
        <v>391</v>
      </c>
      <c r="D61" s="131" t="s">
        <v>392</v>
      </c>
      <c r="E61" s="132" t="s">
        <v>324</v>
      </c>
      <c r="F61" s="132"/>
      <c r="G61" s="133"/>
      <c r="H61" s="125">
        <v>750000000</v>
      </c>
      <c r="I61" s="134"/>
      <c r="J61" s="134"/>
      <c r="K61" s="134"/>
      <c r="L61" s="134"/>
      <c r="M61" s="122"/>
      <c r="N61" s="122"/>
      <c r="O61" s="122"/>
      <c r="P61" s="122"/>
    </row>
    <row r="62" spans="2:16" ht="12.75">
      <c r="B62" s="139" t="s">
        <v>841</v>
      </c>
      <c r="C62" s="138" t="s">
        <v>401</v>
      </c>
      <c r="D62" s="131" t="s">
        <v>402</v>
      </c>
      <c r="E62" s="132" t="s">
        <v>324</v>
      </c>
      <c r="F62" s="132"/>
      <c r="G62" s="133"/>
      <c r="H62" s="125">
        <v>200000000</v>
      </c>
      <c r="I62" s="134"/>
      <c r="J62" s="134"/>
      <c r="K62" s="134"/>
      <c r="L62" s="134"/>
      <c r="M62" s="122"/>
      <c r="N62" s="122"/>
      <c r="O62" s="122"/>
      <c r="P62" s="122"/>
    </row>
    <row r="63" spans="2:16" ht="12.75">
      <c r="B63" s="139" t="s">
        <v>837</v>
      </c>
      <c r="C63" s="138" t="s">
        <v>393</v>
      </c>
      <c r="D63" s="131" t="s">
        <v>394</v>
      </c>
      <c r="E63" s="132" t="s">
        <v>339</v>
      </c>
      <c r="F63" s="132"/>
      <c r="G63" s="133"/>
      <c r="H63" s="135">
        <v>960650000</v>
      </c>
      <c r="I63" s="134"/>
      <c r="J63" s="134"/>
      <c r="K63" s="134"/>
      <c r="L63" s="134"/>
      <c r="M63" s="122"/>
      <c r="N63" s="122"/>
      <c r="O63" s="122"/>
      <c r="P63" s="122"/>
    </row>
    <row r="64" spans="2:16" ht="12.75">
      <c r="B64" s="139" t="s">
        <v>838</v>
      </c>
      <c r="C64" s="138" t="s">
        <v>395</v>
      </c>
      <c r="D64" s="131" t="s">
        <v>396</v>
      </c>
      <c r="E64" s="132" t="s">
        <v>339</v>
      </c>
      <c r="F64" s="132"/>
      <c r="G64" s="133"/>
      <c r="H64" s="125">
        <v>150000000</v>
      </c>
      <c r="I64" s="134"/>
      <c r="J64" s="134"/>
      <c r="K64" s="134"/>
      <c r="L64" s="134"/>
      <c r="M64" s="122"/>
      <c r="N64" s="122"/>
      <c r="O64" s="122"/>
      <c r="P64" s="122"/>
    </row>
    <row r="65" spans="2:16" ht="12.75">
      <c r="B65" s="139" t="s">
        <v>839</v>
      </c>
      <c r="C65" s="138" t="s">
        <v>397</v>
      </c>
      <c r="D65" s="131" t="s">
        <v>398</v>
      </c>
      <c r="E65" s="132" t="s">
        <v>339</v>
      </c>
      <c r="F65" s="132"/>
      <c r="G65" s="133"/>
      <c r="H65" s="125">
        <v>450000000</v>
      </c>
      <c r="I65" s="134"/>
      <c r="J65" s="134"/>
      <c r="K65" s="134"/>
      <c r="L65" s="134"/>
      <c r="M65" s="122"/>
      <c r="N65" s="122"/>
      <c r="O65" s="122"/>
      <c r="P65" s="122"/>
    </row>
    <row r="66" spans="2:16" ht="12.75">
      <c r="B66" s="139" t="s">
        <v>840</v>
      </c>
      <c r="C66" s="138" t="s">
        <v>399</v>
      </c>
      <c r="D66" s="131" t="s">
        <v>400</v>
      </c>
      <c r="E66" s="132" t="s">
        <v>339</v>
      </c>
      <c r="F66" s="132"/>
      <c r="G66" s="133"/>
      <c r="H66" s="125"/>
      <c r="I66" s="134"/>
      <c r="J66" s="134"/>
      <c r="K66" s="134"/>
      <c r="L66" s="134"/>
      <c r="M66" s="122"/>
      <c r="N66" s="122"/>
      <c r="O66" s="122"/>
      <c r="P66" s="122"/>
    </row>
    <row r="67" spans="2:16" ht="12.75">
      <c r="B67" s="139" t="s">
        <v>842</v>
      </c>
      <c r="C67" s="138" t="s">
        <v>403</v>
      </c>
      <c r="D67" s="131" t="s">
        <v>144</v>
      </c>
      <c r="E67" s="132" t="s">
        <v>324</v>
      </c>
      <c r="F67" s="132"/>
      <c r="G67" s="133"/>
      <c r="H67" s="125">
        <v>400000000</v>
      </c>
      <c r="I67" s="134"/>
      <c r="J67" s="134"/>
      <c r="K67" s="134"/>
      <c r="L67" s="134"/>
      <c r="M67" s="122"/>
      <c r="N67" s="122"/>
      <c r="O67" s="122"/>
      <c r="P67" s="122"/>
    </row>
    <row r="68" spans="2:16" ht="12.75">
      <c r="B68" s="139" t="s">
        <v>843</v>
      </c>
      <c r="C68" s="138" t="s">
        <v>404</v>
      </c>
      <c r="D68" s="131" t="s">
        <v>145</v>
      </c>
      <c r="E68" s="132" t="s">
        <v>324</v>
      </c>
      <c r="F68" s="132"/>
      <c r="G68" s="133"/>
      <c r="H68" s="125">
        <v>300000000</v>
      </c>
      <c r="I68" s="134"/>
      <c r="J68" s="134"/>
      <c r="K68" s="134"/>
      <c r="L68" s="134"/>
      <c r="M68" s="122"/>
      <c r="N68" s="122"/>
      <c r="O68" s="122"/>
      <c r="P68" s="122"/>
    </row>
    <row r="69" spans="2:16" ht="12.75">
      <c r="B69" s="139" t="s">
        <v>844</v>
      </c>
      <c r="C69" s="138" t="s">
        <v>405</v>
      </c>
      <c r="D69" s="131" t="s">
        <v>406</v>
      </c>
      <c r="E69" s="132" t="s">
        <v>324</v>
      </c>
      <c r="F69" s="132"/>
      <c r="G69" s="133"/>
      <c r="H69" s="125"/>
      <c r="I69" s="134"/>
      <c r="J69" s="134"/>
      <c r="K69" s="134"/>
      <c r="L69" s="134"/>
      <c r="M69" s="122"/>
      <c r="N69" s="122"/>
      <c r="O69" s="122"/>
      <c r="P69" s="122"/>
    </row>
    <row r="70" spans="2:16" ht="12.75">
      <c r="B70" s="139" t="s">
        <v>845</v>
      </c>
      <c r="C70" s="138" t="s">
        <v>722</v>
      </c>
      <c r="D70" s="131" t="s">
        <v>724</v>
      </c>
      <c r="E70" s="132" t="s">
        <v>339</v>
      </c>
      <c r="F70" s="132"/>
      <c r="G70" s="133"/>
      <c r="H70" s="125">
        <v>5000000</v>
      </c>
      <c r="I70" s="134"/>
      <c r="J70" s="134"/>
      <c r="K70" s="134"/>
      <c r="L70" s="134"/>
      <c r="M70" s="122"/>
      <c r="N70" s="122"/>
      <c r="O70" s="122"/>
      <c r="P70" s="122"/>
    </row>
    <row r="71" spans="2:16" ht="12.75">
      <c r="B71" s="139" t="s">
        <v>846</v>
      </c>
      <c r="C71" s="138" t="s">
        <v>723</v>
      </c>
      <c r="D71" s="131" t="s">
        <v>725</v>
      </c>
      <c r="E71" s="132" t="s">
        <v>339</v>
      </c>
      <c r="F71" s="132"/>
      <c r="G71" s="133"/>
      <c r="H71" s="125"/>
      <c r="I71" s="134"/>
      <c r="J71" s="134"/>
      <c r="K71" s="134"/>
      <c r="L71" s="134"/>
      <c r="M71" s="122"/>
      <c r="N71" s="122"/>
      <c r="O71" s="122"/>
      <c r="P71" s="122"/>
    </row>
    <row r="72" spans="2:16" ht="12.75">
      <c r="B72" s="139" t="s">
        <v>847</v>
      </c>
      <c r="C72" s="138" t="s">
        <v>726</v>
      </c>
      <c r="D72" s="131" t="s">
        <v>371</v>
      </c>
      <c r="E72" s="132" t="s">
        <v>339</v>
      </c>
      <c r="F72" s="132"/>
      <c r="G72" s="133"/>
      <c r="H72" s="125">
        <v>3000000</v>
      </c>
      <c r="I72" s="134"/>
      <c r="J72" s="134"/>
      <c r="K72" s="134"/>
      <c r="L72" s="134"/>
      <c r="M72" s="122"/>
      <c r="N72" s="122"/>
      <c r="O72" s="122"/>
      <c r="P72" s="122"/>
    </row>
    <row r="73" spans="2:16" ht="12.75">
      <c r="B73" s="139" t="s">
        <v>848</v>
      </c>
      <c r="C73" s="138" t="s">
        <v>727</v>
      </c>
      <c r="D73" s="131" t="s">
        <v>372</v>
      </c>
      <c r="E73" s="132" t="s">
        <v>339</v>
      </c>
      <c r="F73" s="132"/>
      <c r="G73" s="133"/>
      <c r="H73" s="125">
        <v>2000000</v>
      </c>
      <c r="I73" s="134"/>
      <c r="J73" s="134"/>
      <c r="K73" s="134"/>
      <c r="L73" s="134"/>
      <c r="M73" s="122"/>
      <c r="N73" s="122"/>
      <c r="O73" s="122"/>
      <c r="P73" s="122"/>
    </row>
    <row r="74" spans="2:16" ht="12.75">
      <c r="B74" s="139" t="s">
        <v>849</v>
      </c>
      <c r="C74" s="138" t="s">
        <v>721</v>
      </c>
      <c r="D74" s="131" t="s">
        <v>143</v>
      </c>
      <c r="E74" s="132" t="s">
        <v>339</v>
      </c>
      <c r="F74" s="132"/>
      <c r="G74" s="133"/>
      <c r="H74" s="125">
        <v>3490000</v>
      </c>
      <c r="I74" s="134"/>
      <c r="J74" s="134"/>
      <c r="K74" s="134"/>
      <c r="L74" s="134"/>
      <c r="M74" s="122"/>
      <c r="N74" s="122"/>
      <c r="O74" s="122"/>
      <c r="P74" s="122"/>
    </row>
    <row r="75" spans="2:16" ht="12.75">
      <c r="B75" s="139" t="s">
        <v>850</v>
      </c>
      <c r="C75" s="138" t="s">
        <v>728</v>
      </c>
      <c r="D75" s="131" t="s">
        <v>407</v>
      </c>
      <c r="E75" s="132" t="s">
        <v>324</v>
      </c>
      <c r="F75" s="132"/>
      <c r="G75" s="133"/>
      <c r="H75" s="125"/>
      <c r="I75" s="134"/>
      <c r="J75" s="134"/>
      <c r="K75" s="134"/>
      <c r="L75" s="134"/>
      <c r="M75" s="122"/>
      <c r="N75" s="122"/>
      <c r="O75" s="122"/>
      <c r="P75" s="122"/>
    </row>
    <row r="76" spans="2:16" ht="12.75">
      <c r="B76" s="139" t="s">
        <v>851</v>
      </c>
      <c r="C76" s="138" t="s">
        <v>806</v>
      </c>
      <c r="D76" s="131" t="s">
        <v>882</v>
      </c>
      <c r="E76" s="132" t="s">
        <v>324</v>
      </c>
      <c r="F76" s="132"/>
      <c r="G76" s="133"/>
      <c r="H76" s="125"/>
      <c r="I76" s="134"/>
      <c r="J76" s="134"/>
      <c r="K76" s="134"/>
      <c r="L76" s="134"/>
      <c r="M76" s="122"/>
      <c r="N76" s="122"/>
      <c r="O76" s="122"/>
      <c r="P76" s="122"/>
    </row>
    <row r="77" spans="2:16" ht="12.75">
      <c r="B77" s="139" t="s">
        <v>851</v>
      </c>
      <c r="C77" s="138" t="s">
        <v>807</v>
      </c>
      <c r="D77" s="131" t="s">
        <v>809</v>
      </c>
      <c r="E77" s="132" t="s">
        <v>324</v>
      </c>
      <c r="F77" s="132"/>
      <c r="G77" s="133"/>
      <c r="H77" s="125"/>
      <c r="I77" s="134"/>
      <c r="J77" s="134"/>
      <c r="K77" s="134"/>
      <c r="L77" s="134"/>
      <c r="M77" s="122"/>
      <c r="N77" s="122"/>
      <c r="O77" s="122"/>
      <c r="P77" s="122"/>
    </row>
    <row r="78" spans="2:16" ht="12.75">
      <c r="B78" s="139" t="s">
        <v>851</v>
      </c>
      <c r="C78" s="138" t="s">
        <v>883</v>
      </c>
      <c r="D78" s="131" t="s">
        <v>808</v>
      </c>
      <c r="E78" s="132" t="s">
        <v>324</v>
      </c>
      <c r="F78" s="132"/>
      <c r="G78" s="133"/>
      <c r="H78" s="125">
        <v>12000000</v>
      </c>
      <c r="I78" s="134"/>
      <c r="J78" s="134"/>
      <c r="K78" s="134"/>
      <c r="L78" s="134"/>
      <c r="M78" s="122"/>
      <c r="N78" s="122"/>
      <c r="O78" s="122"/>
      <c r="P78" s="122"/>
    </row>
    <row r="79" spans="2:16" ht="12.75">
      <c r="B79" s="139" t="s">
        <v>851</v>
      </c>
      <c r="C79" s="138" t="s">
        <v>1225</v>
      </c>
      <c r="D79" s="131" t="s">
        <v>1226</v>
      </c>
      <c r="E79" s="132" t="s">
        <v>324</v>
      </c>
      <c r="F79" s="132"/>
      <c r="G79" s="133"/>
      <c r="H79" s="125"/>
      <c r="I79" s="134"/>
      <c r="J79" s="134"/>
      <c r="K79" s="134"/>
      <c r="L79" s="134"/>
      <c r="M79" s="122"/>
      <c r="N79" s="122"/>
      <c r="O79" s="122"/>
      <c r="P79" s="122"/>
    </row>
    <row r="80" spans="2:16" ht="12.75">
      <c r="B80" s="139" t="s">
        <v>852</v>
      </c>
      <c r="C80" s="138" t="s">
        <v>729</v>
      </c>
      <c r="D80" s="131" t="s">
        <v>160</v>
      </c>
      <c r="E80" s="132" t="s">
        <v>324</v>
      </c>
      <c r="F80" s="132"/>
      <c r="G80" s="133"/>
      <c r="H80" s="125"/>
      <c r="I80" s="134"/>
      <c r="J80" s="134"/>
      <c r="K80" s="134"/>
      <c r="L80" s="134"/>
      <c r="M80" s="122"/>
      <c r="N80" s="122"/>
      <c r="O80" s="122"/>
      <c r="P80" s="122"/>
    </row>
    <row r="81" spans="2:16" ht="12.75">
      <c r="B81" s="139" t="s">
        <v>853</v>
      </c>
      <c r="C81" s="138" t="s">
        <v>730</v>
      </c>
      <c r="D81" s="131" t="s">
        <v>408</v>
      </c>
      <c r="E81" s="132" t="s">
        <v>324</v>
      </c>
      <c r="F81" s="132"/>
      <c r="G81" s="133"/>
      <c r="H81" s="125"/>
      <c r="I81" s="134"/>
      <c r="J81" s="134"/>
      <c r="K81" s="134"/>
      <c r="L81" s="134"/>
      <c r="M81" s="122"/>
      <c r="N81" s="122"/>
      <c r="O81" s="122"/>
      <c r="P81" s="122"/>
    </row>
    <row r="82" spans="2:16" ht="12.75">
      <c r="B82" s="139" t="s">
        <v>854</v>
      </c>
      <c r="C82" s="138" t="s">
        <v>409</v>
      </c>
      <c r="D82" s="131" t="s">
        <v>748</v>
      </c>
      <c r="E82" s="132" t="s">
        <v>339</v>
      </c>
      <c r="F82" s="132"/>
      <c r="G82" s="133"/>
      <c r="H82" s="125">
        <v>30000000</v>
      </c>
      <c r="I82" s="134"/>
      <c r="J82" s="134"/>
      <c r="K82" s="134"/>
      <c r="L82" s="134"/>
      <c r="M82" s="122"/>
      <c r="N82" s="122"/>
      <c r="O82" s="122"/>
      <c r="P82" s="122"/>
    </row>
    <row r="83" spans="2:16" ht="12.75">
      <c r="B83" s="139" t="s">
        <v>854</v>
      </c>
      <c r="C83" s="138" t="s">
        <v>410</v>
      </c>
      <c r="D83" s="131" t="s">
        <v>761</v>
      </c>
      <c r="E83" s="132" t="s">
        <v>339</v>
      </c>
      <c r="F83" s="132"/>
      <c r="G83" s="133"/>
      <c r="H83" s="125">
        <v>120000000</v>
      </c>
      <c r="I83" s="134"/>
      <c r="J83" s="134"/>
      <c r="K83" s="134"/>
      <c r="L83" s="134"/>
      <c r="M83" s="122"/>
      <c r="N83" s="122"/>
      <c r="O83" s="122"/>
      <c r="P83" s="122"/>
    </row>
    <row r="84" spans="2:16" ht="12.75">
      <c r="B84" s="139" t="s">
        <v>854</v>
      </c>
      <c r="C84" s="138" t="s">
        <v>411</v>
      </c>
      <c r="D84" s="131" t="s">
        <v>762</v>
      </c>
      <c r="E84" s="132" t="s">
        <v>339</v>
      </c>
      <c r="F84" s="132"/>
      <c r="G84" s="133"/>
      <c r="H84" s="125">
        <v>-50000000</v>
      </c>
      <c r="I84" s="134"/>
      <c r="J84" s="134"/>
      <c r="K84" s="134"/>
      <c r="L84" s="134"/>
      <c r="M84" s="122"/>
      <c r="N84" s="122"/>
      <c r="O84" s="122"/>
      <c r="P84" s="122"/>
    </row>
    <row r="85" spans="2:16" ht="12.75">
      <c r="B85" s="139" t="s">
        <v>854</v>
      </c>
      <c r="C85" s="138" t="s">
        <v>412</v>
      </c>
      <c r="D85" s="131" t="s">
        <v>760</v>
      </c>
      <c r="E85" s="132" t="s">
        <v>339</v>
      </c>
      <c r="F85" s="132"/>
      <c r="G85" s="133"/>
      <c r="H85" s="125">
        <v>-40000000</v>
      </c>
      <c r="I85" s="134"/>
      <c r="J85" s="134"/>
      <c r="K85" s="134"/>
      <c r="L85" s="134"/>
      <c r="M85" s="122"/>
      <c r="N85" s="122"/>
      <c r="O85" s="122"/>
      <c r="P85" s="122"/>
    </row>
    <row r="86" spans="2:16" ht="12.75">
      <c r="B86" s="139" t="s">
        <v>854</v>
      </c>
      <c r="C86" s="138" t="s">
        <v>413</v>
      </c>
      <c r="D86" s="131" t="s">
        <v>759</v>
      </c>
      <c r="E86" s="132" t="s">
        <v>339</v>
      </c>
      <c r="F86" s="132"/>
      <c r="G86" s="133"/>
      <c r="H86" s="125">
        <v>50000000</v>
      </c>
      <c r="I86" s="134"/>
      <c r="J86" s="134"/>
      <c r="K86" s="134"/>
      <c r="L86" s="134"/>
      <c r="M86" s="122"/>
      <c r="N86" s="122"/>
      <c r="O86" s="122"/>
      <c r="P86" s="122"/>
    </row>
    <row r="87" spans="2:16" ht="12.75">
      <c r="B87" s="139" t="s">
        <v>854</v>
      </c>
      <c r="C87" s="138" t="s">
        <v>414</v>
      </c>
      <c r="D87" s="131" t="s">
        <v>768</v>
      </c>
      <c r="E87" s="132" t="s">
        <v>339</v>
      </c>
      <c r="F87" s="132"/>
      <c r="G87" s="133"/>
      <c r="H87" s="125">
        <v>-100000000</v>
      </c>
      <c r="I87" s="134"/>
      <c r="J87" s="134"/>
      <c r="K87" s="134"/>
      <c r="L87" s="134"/>
      <c r="M87" s="122"/>
      <c r="N87" s="122"/>
      <c r="O87" s="122"/>
      <c r="P87" s="122"/>
    </row>
    <row r="88" spans="2:16" ht="12.75">
      <c r="B88" s="139" t="s">
        <v>854</v>
      </c>
      <c r="C88" s="138" t="s">
        <v>415</v>
      </c>
      <c r="D88" s="131" t="s">
        <v>769</v>
      </c>
      <c r="E88" s="132" t="s">
        <v>339</v>
      </c>
      <c r="F88" s="132"/>
      <c r="G88" s="133"/>
      <c r="H88" s="125">
        <v>50000000</v>
      </c>
      <c r="I88" s="134"/>
      <c r="J88" s="134"/>
      <c r="K88" s="134"/>
      <c r="L88" s="134"/>
      <c r="M88" s="122"/>
      <c r="N88" s="122"/>
      <c r="O88" s="122"/>
      <c r="P88" s="122"/>
    </row>
    <row r="89" spans="2:16" ht="12.75">
      <c r="B89" s="139" t="s">
        <v>854</v>
      </c>
      <c r="C89" s="138" t="s">
        <v>416</v>
      </c>
      <c r="D89" s="131" t="s">
        <v>767</v>
      </c>
      <c r="E89" s="132" t="s">
        <v>339</v>
      </c>
      <c r="F89" s="132"/>
      <c r="G89" s="133"/>
      <c r="H89" s="125">
        <v>-40000000</v>
      </c>
      <c r="I89" s="134"/>
      <c r="J89" s="134"/>
      <c r="K89" s="134"/>
      <c r="L89" s="134"/>
      <c r="M89" s="122"/>
      <c r="N89" s="122"/>
      <c r="O89" s="122"/>
      <c r="P89" s="122"/>
    </row>
    <row r="90" spans="2:16" ht="12.75">
      <c r="B90" s="139" t="s">
        <v>854</v>
      </c>
      <c r="C90" s="138" t="s">
        <v>417</v>
      </c>
      <c r="D90" s="131" t="s">
        <v>765</v>
      </c>
      <c r="E90" s="132" t="s">
        <v>339</v>
      </c>
      <c r="F90" s="132"/>
      <c r="G90" s="133"/>
      <c r="H90" s="125">
        <v>15000000</v>
      </c>
      <c r="I90" s="134"/>
      <c r="J90" s="134"/>
      <c r="K90" s="134"/>
      <c r="L90" s="134"/>
      <c r="M90" s="122"/>
      <c r="N90" s="122"/>
      <c r="O90" s="122"/>
      <c r="P90" s="122"/>
    </row>
    <row r="91" spans="2:16" ht="12.75">
      <c r="B91" s="139" t="s">
        <v>854</v>
      </c>
      <c r="C91" s="138" t="s">
        <v>418</v>
      </c>
      <c r="D91" s="131" t="s">
        <v>764</v>
      </c>
      <c r="E91" s="132" t="s">
        <v>339</v>
      </c>
      <c r="F91" s="132"/>
      <c r="G91" s="133"/>
      <c r="H91" s="125">
        <v>40000000</v>
      </c>
      <c r="I91" s="134"/>
      <c r="J91" s="134"/>
      <c r="K91" s="134"/>
      <c r="L91" s="134"/>
      <c r="M91" s="122"/>
      <c r="N91" s="122"/>
      <c r="O91" s="122"/>
      <c r="P91" s="122"/>
    </row>
    <row r="92" spans="2:16" ht="12.75">
      <c r="B92" s="139" t="s">
        <v>854</v>
      </c>
      <c r="C92" s="138" t="s">
        <v>419</v>
      </c>
      <c r="D92" s="131" t="s">
        <v>770</v>
      </c>
      <c r="E92" s="132" t="s">
        <v>339</v>
      </c>
      <c r="F92" s="132"/>
      <c r="G92" s="133"/>
      <c r="H92" s="125">
        <v>150000000</v>
      </c>
      <c r="I92" s="134"/>
      <c r="J92" s="134"/>
      <c r="K92" s="134"/>
      <c r="L92" s="134"/>
      <c r="M92" s="122"/>
      <c r="N92" s="122"/>
      <c r="O92" s="122"/>
      <c r="P92" s="122"/>
    </row>
    <row r="93" spans="2:16" ht="12.75">
      <c r="B93" s="139" t="s">
        <v>854</v>
      </c>
      <c r="C93" s="138" t="s">
        <v>420</v>
      </c>
      <c r="D93" s="131" t="s">
        <v>773</v>
      </c>
      <c r="E93" s="132" t="s">
        <v>339</v>
      </c>
      <c r="F93" s="132"/>
      <c r="G93" s="133"/>
      <c r="H93" s="125">
        <v>65000000</v>
      </c>
      <c r="I93" s="134"/>
      <c r="J93" s="134"/>
      <c r="K93" s="134"/>
      <c r="L93" s="134"/>
      <c r="M93" s="122"/>
      <c r="N93" s="122"/>
      <c r="O93" s="122"/>
      <c r="P93" s="122"/>
    </row>
    <row r="94" spans="2:16" ht="12.75">
      <c r="B94" s="139" t="s">
        <v>854</v>
      </c>
      <c r="C94" s="138" t="s">
        <v>421</v>
      </c>
      <c r="D94" s="131" t="s">
        <v>772</v>
      </c>
      <c r="E94" s="132" t="s">
        <v>339</v>
      </c>
      <c r="F94" s="132"/>
      <c r="G94" s="133"/>
      <c r="H94" s="125"/>
      <c r="I94" s="134"/>
      <c r="J94" s="134"/>
      <c r="K94" s="134"/>
      <c r="L94" s="134"/>
      <c r="M94" s="122"/>
      <c r="N94" s="122"/>
      <c r="O94" s="122"/>
      <c r="P94" s="122"/>
    </row>
    <row r="95" spans="2:16" ht="12.75">
      <c r="B95" s="139" t="s">
        <v>854</v>
      </c>
      <c r="C95" s="138" t="s">
        <v>422</v>
      </c>
      <c r="D95" s="131" t="s">
        <v>763</v>
      </c>
      <c r="E95" s="132" t="s">
        <v>339</v>
      </c>
      <c r="F95" s="132"/>
      <c r="G95" s="133"/>
      <c r="H95" s="125">
        <v>150000000</v>
      </c>
      <c r="I95" s="134"/>
      <c r="J95" s="134"/>
      <c r="K95" s="134"/>
      <c r="L95" s="134"/>
      <c r="M95" s="122"/>
      <c r="N95" s="122"/>
      <c r="O95" s="122"/>
      <c r="P95" s="122"/>
    </row>
    <row r="96" spans="2:16" ht="12.75">
      <c r="B96" s="139" t="s">
        <v>855</v>
      </c>
      <c r="C96" s="138" t="s">
        <v>423</v>
      </c>
      <c r="D96" s="131" t="s">
        <v>774</v>
      </c>
      <c r="E96" s="132" t="s">
        <v>339</v>
      </c>
      <c r="F96" s="132"/>
      <c r="G96" s="133"/>
      <c r="H96" s="125">
        <v>50000000</v>
      </c>
      <c r="I96" s="134"/>
      <c r="J96" s="134"/>
      <c r="K96" s="134"/>
      <c r="L96" s="134"/>
      <c r="M96" s="122"/>
      <c r="N96" s="122"/>
      <c r="O96" s="122"/>
      <c r="P96" s="122"/>
    </row>
    <row r="97" spans="2:16" ht="12.75">
      <c r="B97" s="139" t="s">
        <v>855</v>
      </c>
      <c r="C97" s="138" t="s">
        <v>424</v>
      </c>
      <c r="D97" s="131" t="s">
        <v>775</v>
      </c>
      <c r="E97" s="132" t="s">
        <v>339</v>
      </c>
      <c r="F97" s="132"/>
      <c r="G97" s="133"/>
      <c r="H97" s="125">
        <v>100000000</v>
      </c>
      <c r="I97" s="134"/>
      <c r="J97" s="134"/>
      <c r="K97" s="134"/>
      <c r="L97" s="134"/>
      <c r="M97" s="122"/>
      <c r="N97" s="122"/>
      <c r="O97" s="122"/>
      <c r="P97" s="122"/>
    </row>
    <row r="98" spans="2:16" ht="12.75">
      <c r="B98" s="139" t="s">
        <v>855</v>
      </c>
      <c r="C98" s="138" t="s">
        <v>425</v>
      </c>
      <c r="D98" s="131" t="s">
        <v>776</v>
      </c>
      <c r="E98" s="132" t="s">
        <v>339</v>
      </c>
      <c r="F98" s="132"/>
      <c r="G98" s="133"/>
      <c r="H98" s="125">
        <v>36000000</v>
      </c>
      <c r="I98" s="134"/>
      <c r="J98" s="134"/>
      <c r="K98" s="134"/>
      <c r="L98" s="134"/>
      <c r="M98" s="122"/>
      <c r="N98" s="122"/>
      <c r="O98" s="122"/>
      <c r="P98" s="122"/>
    </row>
    <row r="99" spans="2:16" ht="12.75">
      <c r="B99" s="139" t="s">
        <v>855</v>
      </c>
      <c r="C99" s="138" t="s">
        <v>426</v>
      </c>
      <c r="D99" s="131" t="s">
        <v>777</v>
      </c>
      <c r="E99" s="132" t="s">
        <v>339</v>
      </c>
      <c r="F99" s="132"/>
      <c r="G99" s="133"/>
      <c r="H99" s="125">
        <v>50000000</v>
      </c>
      <c r="I99" s="134"/>
      <c r="J99" s="134"/>
      <c r="K99" s="134"/>
      <c r="L99" s="134"/>
      <c r="M99" s="122"/>
      <c r="N99" s="122"/>
      <c r="O99" s="122"/>
      <c r="P99" s="122"/>
    </row>
    <row r="100" spans="2:16" ht="12.75">
      <c r="B100" s="139" t="s">
        <v>855</v>
      </c>
      <c r="C100" s="138" t="s">
        <v>427</v>
      </c>
      <c r="D100" s="131" t="s">
        <v>778</v>
      </c>
      <c r="E100" s="132" t="s">
        <v>339</v>
      </c>
      <c r="F100" s="132"/>
      <c r="G100" s="133"/>
      <c r="H100" s="125">
        <v>20000000</v>
      </c>
      <c r="I100" s="134"/>
      <c r="J100" s="134"/>
      <c r="K100" s="134"/>
      <c r="L100" s="134"/>
      <c r="M100" s="122"/>
      <c r="N100" s="122"/>
      <c r="O100" s="122"/>
      <c r="P100" s="122"/>
    </row>
    <row r="101" spans="2:16" ht="12.75">
      <c r="B101" s="139" t="s">
        <v>855</v>
      </c>
      <c r="C101" s="138" t="s">
        <v>428</v>
      </c>
      <c r="D101" s="131" t="s">
        <v>779</v>
      </c>
      <c r="E101" s="132" t="s">
        <v>339</v>
      </c>
      <c r="F101" s="132"/>
      <c r="G101" s="133"/>
      <c r="H101" s="125">
        <v>15000000</v>
      </c>
      <c r="I101" s="134"/>
      <c r="J101" s="134"/>
      <c r="K101" s="134"/>
      <c r="L101" s="134"/>
      <c r="M101" s="122"/>
      <c r="N101" s="122"/>
      <c r="O101" s="122"/>
      <c r="P101" s="122"/>
    </row>
    <row r="102" spans="2:16" ht="12.75">
      <c r="B102" s="137" t="s">
        <v>856</v>
      </c>
      <c r="C102" s="138" t="s">
        <v>161</v>
      </c>
      <c r="D102" s="131" t="s">
        <v>162</v>
      </c>
      <c r="E102" s="132" t="s">
        <v>339</v>
      </c>
      <c r="F102" s="132"/>
      <c r="G102" s="133"/>
      <c r="H102" s="125">
        <v>3000000</v>
      </c>
      <c r="I102" s="134"/>
      <c r="J102" s="134"/>
      <c r="K102" s="134"/>
      <c r="L102" s="134"/>
      <c r="M102" s="122"/>
      <c r="N102" s="122"/>
      <c r="O102" s="122"/>
      <c r="P102" s="122"/>
    </row>
    <row r="103" spans="2:16" ht="12.75">
      <c r="B103" s="137" t="s">
        <v>856</v>
      </c>
      <c r="C103" s="138" t="s">
        <v>163</v>
      </c>
      <c r="D103" s="131" t="s">
        <v>164</v>
      </c>
      <c r="E103" s="132" t="s">
        <v>339</v>
      </c>
      <c r="F103" s="132"/>
      <c r="G103" s="133"/>
      <c r="H103" s="125">
        <v>2500000</v>
      </c>
      <c r="I103" s="134"/>
      <c r="J103" s="134"/>
      <c r="K103" s="134"/>
      <c r="L103" s="134"/>
      <c r="M103" s="122"/>
      <c r="N103" s="122"/>
      <c r="O103" s="122"/>
      <c r="P103" s="122"/>
    </row>
    <row r="104" spans="2:16" ht="12.75">
      <c r="B104" s="137" t="s">
        <v>856</v>
      </c>
      <c r="C104" s="138" t="s">
        <v>165</v>
      </c>
      <c r="D104" s="131" t="s">
        <v>166</v>
      </c>
      <c r="E104" s="132" t="s">
        <v>339</v>
      </c>
      <c r="F104" s="132"/>
      <c r="G104" s="133"/>
      <c r="H104" s="125"/>
      <c r="I104" s="134"/>
      <c r="J104" s="134"/>
      <c r="K104" s="134"/>
      <c r="L104" s="134"/>
      <c r="M104" s="122"/>
      <c r="N104" s="122"/>
      <c r="O104" s="122"/>
      <c r="P104" s="122"/>
    </row>
    <row r="105" spans="2:16" ht="12.75">
      <c r="B105" s="137" t="s">
        <v>856</v>
      </c>
      <c r="C105" s="138" t="s">
        <v>429</v>
      </c>
      <c r="D105" s="131" t="s">
        <v>430</v>
      </c>
      <c r="E105" s="132" t="s">
        <v>339</v>
      </c>
      <c r="F105" s="132"/>
      <c r="G105" s="133"/>
      <c r="H105" s="125"/>
      <c r="I105" s="134"/>
      <c r="J105" s="134"/>
      <c r="K105" s="134"/>
      <c r="L105" s="134"/>
      <c r="M105" s="122"/>
      <c r="N105" s="122"/>
      <c r="O105" s="122"/>
      <c r="P105" s="122"/>
    </row>
    <row r="106" spans="2:16" ht="12.75">
      <c r="B106" s="137" t="s">
        <v>856</v>
      </c>
      <c r="C106" s="141" t="s">
        <v>431</v>
      </c>
      <c r="D106" s="131" t="s">
        <v>432</v>
      </c>
      <c r="E106" s="132" t="s">
        <v>339</v>
      </c>
      <c r="F106" s="132"/>
      <c r="G106" s="133"/>
      <c r="H106" s="125"/>
      <c r="I106" s="134"/>
      <c r="J106" s="134"/>
      <c r="K106" s="134"/>
      <c r="L106" s="134"/>
      <c r="M106" s="122"/>
      <c r="N106" s="122"/>
      <c r="O106" s="122"/>
      <c r="P106" s="122"/>
    </row>
    <row r="107" spans="2:16" ht="12.75">
      <c r="B107" s="137" t="s">
        <v>856</v>
      </c>
      <c r="C107" s="138" t="s">
        <v>433</v>
      </c>
      <c r="D107" s="131" t="s">
        <v>167</v>
      </c>
      <c r="E107" s="132" t="s">
        <v>339</v>
      </c>
      <c r="F107" s="132"/>
      <c r="G107" s="133"/>
      <c r="H107" s="125"/>
      <c r="I107" s="134"/>
      <c r="J107" s="134"/>
      <c r="K107" s="134"/>
      <c r="L107" s="134"/>
      <c r="M107" s="122"/>
      <c r="N107" s="122"/>
      <c r="O107" s="122"/>
      <c r="P107" s="122"/>
    </row>
    <row r="108" spans="2:16" ht="12.75">
      <c r="B108" s="137" t="s">
        <v>856</v>
      </c>
      <c r="C108" s="138" t="s">
        <v>434</v>
      </c>
      <c r="D108" s="131" t="s">
        <v>435</v>
      </c>
      <c r="E108" s="132" t="s">
        <v>339</v>
      </c>
      <c r="F108" s="132"/>
      <c r="G108" s="133"/>
      <c r="H108" s="125">
        <v>5000000</v>
      </c>
      <c r="I108" s="134"/>
      <c r="J108" s="134"/>
      <c r="K108" s="134"/>
      <c r="L108" s="134"/>
      <c r="M108" s="122"/>
      <c r="N108" s="122"/>
      <c r="O108" s="122"/>
      <c r="P108" s="122"/>
    </row>
    <row r="109" spans="2:16" ht="12.75">
      <c r="B109" s="137" t="s">
        <v>856</v>
      </c>
      <c r="C109" s="138" t="s">
        <v>436</v>
      </c>
      <c r="D109" s="131" t="s">
        <v>437</v>
      </c>
      <c r="E109" s="132" t="s">
        <v>339</v>
      </c>
      <c r="F109" s="132"/>
      <c r="G109" s="133"/>
      <c r="H109" s="125">
        <v>12000000</v>
      </c>
      <c r="I109" s="134"/>
      <c r="J109" s="134"/>
      <c r="K109" s="134"/>
      <c r="L109" s="134"/>
      <c r="M109" s="122"/>
      <c r="N109" s="122"/>
      <c r="O109" s="122"/>
      <c r="P109" s="122"/>
    </row>
    <row r="110" spans="2:16" ht="12.75">
      <c r="B110" s="137" t="s">
        <v>856</v>
      </c>
      <c r="C110" s="138" t="s">
        <v>438</v>
      </c>
      <c r="D110" s="131" t="s">
        <v>168</v>
      </c>
      <c r="E110" s="132" t="s">
        <v>339</v>
      </c>
      <c r="F110" s="132"/>
      <c r="G110" s="133"/>
      <c r="H110" s="125">
        <v>8000000</v>
      </c>
      <c r="I110" s="134"/>
      <c r="J110" s="134"/>
      <c r="K110" s="134"/>
      <c r="L110" s="134"/>
      <c r="M110" s="122"/>
      <c r="N110" s="122"/>
      <c r="O110" s="122"/>
      <c r="P110" s="122"/>
    </row>
    <row r="111" spans="2:16" ht="12.75">
      <c r="B111" s="137" t="s">
        <v>856</v>
      </c>
      <c r="C111" s="138" t="s">
        <v>440</v>
      </c>
      <c r="D111" s="131" t="s">
        <v>439</v>
      </c>
      <c r="E111" s="132" t="s">
        <v>339</v>
      </c>
      <c r="F111" s="132"/>
      <c r="G111" s="133"/>
      <c r="H111" s="125"/>
      <c r="I111" s="134"/>
      <c r="J111" s="134"/>
      <c r="K111" s="134"/>
      <c r="L111" s="134"/>
      <c r="M111" s="122"/>
      <c r="N111" s="122"/>
      <c r="O111" s="122"/>
      <c r="P111" s="122"/>
    </row>
    <row r="112" spans="2:16" ht="12.75">
      <c r="B112" s="137" t="s">
        <v>856</v>
      </c>
      <c r="C112" s="138" t="s">
        <v>441</v>
      </c>
      <c r="D112" s="131" t="s">
        <v>442</v>
      </c>
      <c r="E112" s="132" t="s">
        <v>339</v>
      </c>
      <c r="F112" s="132"/>
      <c r="G112" s="133"/>
      <c r="H112" s="125"/>
      <c r="I112" s="134"/>
      <c r="J112" s="134"/>
      <c r="K112" s="134"/>
      <c r="L112" s="134"/>
      <c r="M112" s="122"/>
      <c r="N112" s="122"/>
      <c r="O112" s="122"/>
      <c r="P112" s="122"/>
    </row>
    <row r="113" spans="2:16" ht="12.75">
      <c r="B113" s="137" t="s">
        <v>856</v>
      </c>
      <c r="C113" s="138" t="s">
        <v>443</v>
      </c>
      <c r="D113" s="131" t="s">
        <v>444</v>
      </c>
      <c r="E113" s="132" t="s">
        <v>339</v>
      </c>
      <c r="F113" s="132"/>
      <c r="G113" s="133"/>
      <c r="H113" s="125"/>
      <c r="I113" s="134"/>
      <c r="J113" s="134"/>
      <c r="K113" s="134"/>
      <c r="L113" s="134"/>
      <c r="M113" s="122"/>
      <c r="N113" s="122"/>
      <c r="O113" s="122"/>
      <c r="P113" s="122"/>
    </row>
    <row r="114" spans="2:16" ht="12.75">
      <c r="B114" s="137" t="s">
        <v>856</v>
      </c>
      <c r="C114" s="138" t="s">
        <v>445</v>
      </c>
      <c r="D114" s="131" t="s">
        <v>446</v>
      </c>
      <c r="E114" s="132" t="s">
        <v>339</v>
      </c>
      <c r="F114" s="132"/>
      <c r="G114" s="133"/>
      <c r="H114" s="125"/>
      <c r="I114" s="134"/>
      <c r="J114" s="134"/>
      <c r="K114" s="134"/>
      <c r="L114" s="134"/>
      <c r="M114" s="122"/>
      <c r="N114" s="122"/>
      <c r="O114" s="122"/>
      <c r="P114" s="122"/>
    </row>
    <row r="115" spans="2:16" ht="12.75">
      <c r="B115" s="137" t="s">
        <v>857</v>
      </c>
      <c r="C115" s="138" t="s">
        <v>735</v>
      </c>
      <c r="D115" s="131" t="s">
        <v>447</v>
      </c>
      <c r="E115" s="132" t="s">
        <v>339</v>
      </c>
      <c r="F115" s="132"/>
      <c r="G115" s="133"/>
      <c r="H115" s="125">
        <v>70000000</v>
      </c>
      <c r="I115" s="134"/>
      <c r="J115" s="134"/>
      <c r="K115" s="134"/>
      <c r="L115" s="134"/>
      <c r="M115" s="122"/>
      <c r="N115" s="122"/>
      <c r="O115" s="122"/>
      <c r="P115" s="122"/>
    </row>
    <row r="116" spans="2:16" ht="12.75">
      <c r="B116" s="137" t="s">
        <v>858</v>
      </c>
      <c r="C116" s="138" t="s">
        <v>448</v>
      </c>
      <c r="D116" s="131" t="s">
        <v>449</v>
      </c>
      <c r="E116" s="132" t="s">
        <v>339</v>
      </c>
      <c r="F116" s="132"/>
      <c r="G116" s="133"/>
      <c r="H116" s="125">
        <v>31543000</v>
      </c>
      <c r="I116" s="134"/>
      <c r="J116" s="134"/>
      <c r="K116" s="134"/>
      <c r="L116" s="134"/>
      <c r="M116" s="122"/>
      <c r="N116" s="122"/>
      <c r="O116" s="122"/>
      <c r="P116" s="122"/>
    </row>
    <row r="117" spans="2:16" ht="12.75">
      <c r="B117" s="137" t="s">
        <v>859</v>
      </c>
      <c r="C117" s="138" t="s">
        <v>450</v>
      </c>
      <c r="D117" s="131" t="s">
        <v>451</v>
      </c>
      <c r="E117" s="132" t="s">
        <v>339</v>
      </c>
      <c r="F117" s="132"/>
      <c r="G117" s="133"/>
      <c r="H117" s="125">
        <v>2550000</v>
      </c>
      <c r="I117" s="134"/>
      <c r="J117" s="134"/>
      <c r="K117" s="134"/>
      <c r="L117" s="134"/>
      <c r="M117" s="122"/>
      <c r="N117" s="122"/>
      <c r="O117" s="122"/>
      <c r="P117" s="122"/>
    </row>
    <row r="118" spans="2:16" ht="12.75">
      <c r="B118" s="139" t="s">
        <v>860</v>
      </c>
      <c r="C118" s="138" t="s">
        <v>452</v>
      </c>
      <c r="D118" s="131" t="s">
        <v>453</v>
      </c>
      <c r="E118" s="132" t="s">
        <v>339</v>
      </c>
      <c r="F118" s="132"/>
      <c r="G118" s="133"/>
      <c r="H118" s="125">
        <v>96940214</v>
      </c>
      <c r="I118" s="134"/>
      <c r="J118" s="134"/>
      <c r="K118" s="134"/>
      <c r="L118" s="134"/>
      <c r="M118" s="122"/>
      <c r="N118" s="122"/>
      <c r="O118" s="122"/>
      <c r="P118" s="122"/>
    </row>
    <row r="119" spans="2:16" ht="12.75">
      <c r="B119" s="137" t="s">
        <v>861</v>
      </c>
      <c r="C119" s="140" t="s">
        <v>142</v>
      </c>
      <c r="D119" s="131" t="s">
        <v>169</v>
      </c>
      <c r="E119" s="132" t="s">
        <v>339</v>
      </c>
      <c r="F119" s="132"/>
      <c r="G119" s="133"/>
      <c r="H119" s="125">
        <v>-20000000</v>
      </c>
      <c r="I119" s="134"/>
      <c r="J119" s="134"/>
      <c r="K119" s="134"/>
      <c r="L119" s="134"/>
      <c r="M119" s="122"/>
      <c r="N119" s="122"/>
      <c r="O119" s="122"/>
      <c r="P119" s="122"/>
    </row>
    <row r="120" spans="2:16" ht="12.75">
      <c r="B120" s="137" t="s">
        <v>862</v>
      </c>
      <c r="C120" s="138" t="s">
        <v>170</v>
      </c>
      <c r="D120" s="131" t="s">
        <v>171</v>
      </c>
      <c r="E120" s="132" t="s">
        <v>339</v>
      </c>
      <c r="F120" s="132"/>
      <c r="G120" s="133"/>
      <c r="H120" s="125">
        <v>99357000</v>
      </c>
      <c r="I120" s="134"/>
      <c r="J120" s="134"/>
      <c r="K120" s="134"/>
      <c r="L120" s="134"/>
      <c r="M120" s="122"/>
      <c r="N120" s="122"/>
      <c r="O120" s="122"/>
      <c r="P120" s="122"/>
    </row>
    <row r="121" spans="2:16" ht="12.75">
      <c r="B121" s="139" t="s">
        <v>863</v>
      </c>
      <c r="C121" s="138" t="s">
        <v>172</v>
      </c>
      <c r="D121" s="131" t="s">
        <v>173</v>
      </c>
      <c r="E121" s="132" t="s">
        <v>339</v>
      </c>
      <c r="F121" s="132"/>
      <c r="G121" s="133"/>
      <c r="H121" s="125">
        <v>30000000</v>
      </c>
      <c r="I121" s="134"/>
      <c r="J121" s="134"/>
      <c r="K121" s="134"/>
      <c r="L121" s="134"/>
      <c r="M121" s="122"/>
      <c r="N121" s="122"/>
      <c r="O121" s="122"/>
      <c r="P121" s="122"/>
    </row>
    <row r="122" spans="2:16" ht="12.75">
      <c r="B122" s="139" t="s">
        <v>863</v>
      </c>
      <c r="C122" s="138" t="s">
        <v>174</v>
      </c>
      <c r="D122" s="131" t="s">
        <v>175</v>
      </c>
      <c r="E122" s="132" t="s">
        <v>339</v>
      </c>
      <c r="F122" s="132"/>
      <c r="G122" s="133"/>
      <c r="H122" s="125"/>
      <c r="I122" s="134"/>
      <c r="J122" s="134"/>
      <c r="K122" s="134"/>
      <c r="L122" s="134"/>
      <c r="M122" s="122"/>
      <c r="N122" s="122"/>
      <c r="O122" s="122"/>
      <c r="P122" s="122"/>
    </row>
    <row r="123" spans="2:16" ht="12.75">
      <c r="B123" s="139" t="s">
        <v>863</v>
      </c>
      <c r="C123" s="138" t="s">
        <v>176</v>
      </c>
      <c r="D123" s="131" t="s">
        <v>177</v>
      </c>
      <c r="E123" s="132" t="s">
        <v>339</v>
      </c>
      <c r="F123" s="132"/>
      <c r="G123" s="133"/>
      <c r="H123" s="125"/>
      <c r="I123" s="134"/>
      <c r="J123" s="134"/>
      <c r="K123" s="134"/>
      <c r="L123" s="134"/>
      <c r="M123" s="122"/>
      <c r="N123" s="122"/>
      <c r="O123" s="122"/>
      <c r="P123" s="122"/>
    </row>
    <row r="124" spans="2:16" ht="12.75">
      <c r="B124" s="139" t="s">
        <v>863</v>
      </c>
      <c r="C124" s="138" t="s">
        <v>736</v>
      </c>
      <c r="D124" s="131" t="s">
        <v>179</v>
      </c>
      <c r="E124" s="132" t="s">
        <v>339</v>
      </c>
      <c r="F124" s="132"/>
      <c r="G124" s="133"/>
      <c r="H124" s="125"/>
      <c r="I124" s="134"/>
      <c r="J124" s="134"/>
      <c r="K124" s="134"/>
      <c r="L124" s="134"/>
      <c r="M124" s="122"/>
      <c r="N124" s="122"/>
      <c r="O124" s="122"/>
      <c r="P124" s="122"/>
    </row>
    <row r="125" spans="2:16" ht="12.75">
      <c r="B125" s="139" t="s">
        <v>863</v>
      </c>
      <c r="C125" s="138" t="s">
        <v>178</v>
      </c>
      <c r="D125" s="131" t="s">
        <v>454</v>
      </c>
      <c r="E125" s="132" t="s">
        <v>339</v>
      </c>
      <c r="F125" s="132"/>
      <c r="G125" s="133"/>
      <c r="H125" s="125">
        <v>22300000</v>
      </c>
      <c r="I125" s="134"/>
      <c r="J125" s="134"/>
      <c r="K125" s="134"/>
      <c r="L125" s="134"/>
      <c r="M125" s="122"/>
      <c r="N125" s="122"/>
      <c r="O125" s="122"/>
      <c r="P125" s="122"/>
    </row>
    <row r="126" spans="2:16" ht="12.75">
      <c r="B126" s="139" t="s">
        <v>864</v>
      </c>
      <c r="C126" s="138" t="s">
        <v>732</v>
      </c>
      <c r="D126" s="136" t="s">
        <v>733</v>
      </c>
      <c r="E126" s="132" t="s">
        <v>339</v>
      </c>
      <c r="F126" s="132"/>
      <c r="G126" s="133"/>
      <c r="H126" s="125">
        <v>175000000</v>
      </c>
      <c r="I126" s="134"/>
      <c r="J126" s="134"/>
      <c r="K126" s="134"/>
      <c r="L126" s="134"/>
      <c r="M126" s="122"/>
      <c r="N126" s="122"/>
      <c r="O126" s="122"/>
      <c r="P126" s="122"/>
    </row>
    <row r="127" spans="2:16" ht="12.75">
      <c r="B127" s="139" t="s">
        <v>865</v>
      </c>
      <c r="C127" s="138" t="s">
        <v>731</v>
      </c>
      <c r="D127" s="136" t="s">
        <v>734</v>
      </c>
      <c r="E127" s="132" t="s">
        <v>339</v>
      </c>
      <c r="F127" s="132"/>
      <c r="G127" s="133"/>
      <c r="H127" s="125">
        <v>750000000</v>
      </c>
      <c r="I127" s="134"/>
      <c r="J127" s="134"/>
      <c r="K127" s="134"/>
      <c r="L127" s="134"/>
      <c r="M127" s="122"/>
      <c r="N127" s="122"/>
      <c r="O127" s="122"/>
      <c r="P127" s="122"/>
    </row>
    <row r="128" spans="2:16" ht="12.75">
      <c r="B128" s="139" t="s">
        <v>866</v>
      </c>
      <c r="C128" s="138" t="s">
        <v>455</v>
      </c>
      <c r="D128" s="131" t="s">
        <v>456</v>
      </c>
      <c r="E128" s="132" t="s">
        <v>339</v>
      </c>
      <c r="F128" s="132"/>
      <c r="G128" s="133"/>
      <c r="H128" s="125">
        <v>40000000</v>
      </c>
      <c r="I128" s="134"/>
      <c r="J128" s="134"/>
      <c r="K128" s="134"/>
      <c r="L128" s="134"/>
      <c r="M128" s="122"/>
      <c r="N128" s="122"/>
      <c r="O128" s="122"/>
      <c r="P128" s="122"/>
    </row>
    <row r="129" spans="2:16" ht="12.75">
      <c r="B129" s="139" t="s">
        <v>867</v>
      </c>
      <c r="C129" s="140" t="s">
        <v>180</v>
      </c>
      <c r="D129" s="131" t="s">
        <v>5</v>
      </c>
      <c r="E129" s="132" t="s">
        <v>339</v>
      </c>
      <c r="F129" s="132"/>
      <c r="G129" s="133"/>
      <c r="H129" s="125">
        <v>148150000</v>
      </c>
      <c r="I129" s="134"/>
      <c r="J129" s="134"/>
      <c r="K129" s="134"/>
      <c r="L129" s="134"/>
      <c r="M129" s="122"/>
      <c r="N129" s="122"/>
      <c r="O129" s="122"/>
      <c r="P129" s="122"/>
    </row>
    <row r="130" spans="2:16" ht="12.75">
      <c r="B130" s="139" t="s">
        <v>867</v>
      </c>
      <c r="C130" s="140" t="s">
        <v>181</v>
      </c>
      <c r="D130" s="131" t="s">
        <v>150</v>
      </c>
      <c r="E130" s="132" t="s">
        <v>339</v>
      </c>
      <c r="F130" s="132"/>
      <c r="G130" s="133"/>
      <c r="H130" s="125">
        <v>56000000</v>
      </c>
      <c r="I130" s="134"/>
      <c r="J130" s="134"/>
      <c r="K130" s="134"/>
      <c r="L130" s="134"/>
      <c r="M130" s="122"/>
      <c r="N130" s="122"/>
      <c r="O130" s="122"/>
      <c r="P130" s="122"/>
    </row>
    <row r="131" spans="2:16" ht="12.75">
      <c r="B131" s="139" t="s">
        <v>867</v>
      </c>
      <c r="C131" s="140" t="s">
        <v>182</v>
      </c>
      <c r="D131" s="131" t="s">
        <v>183</v>
      </c>
      <c r="E131" s="132" t="s">
        <v>339</v>
      </c>
      <c r="F131" s="132"/>
      <c r="G131" s="133"/>
      <c r="H131" s="125">
        <v>58000000</v>
      </c>
      <c r="I131" s="134"/>
      <c r="J131" s="134"/>
      <c r="K131" s="134"/>
      <c r="L131" s="134"/>
      <c r="M131" s="122"/>
      <c r="N131" s="122"/>
      <c r="O131" s="122"/>
      <c r="P131" s="122"/>
    </row>
    <row r="132" spans="2:16" ht="12.75">
      <c r="B132" s="139" t="s">
        <v>867</v>
      </c>
      <c r="C132" s="140" t="s">
        <v>184</v>
      </c>
      <c r="D132" s="131" t="s">
        <v>185</v>
      </c>
      <c r="E132" s="132" t="s">
        <v>339</v>
      </c>
      <c r="F132" s="132"/>
      <c r="G132" s="133"/>
      <c r="H132" s="125">
        <v>65000000</v>
      </c>
      <c r="I132" s="134"/>
      <c r="J132" s="134"/>
      <c r="K132" s="134"/>
      <c r="L132" s="134"/>
      <c r="M132" s="122"/>
      <c r="N132" s="122"/>
      <c r="O132" s="122"/>
      <c r="P132" s="122"/>
    </row>
    <row r="133" spans="2:16" ht="12.75">
      <c r="B133" s="139" t="s">
        <v>868</v>
      </c>
      <c r="C133" s="138" t="s">
        <v>186</v>
      </c>
      <c r="D133" s="131" t="s">
        <v>187</v>
      </c>
      <c r="E133" s="132" t="s">
        <v>339</v>
      </c>
      <c r="F133" s="132"/>
      <c r="G133" s="133"/>
      <c r="H133" s="125">
        <v>140000000</v>
      </c>
      <c r="I133" s="134"/>
      <c r="J133" s="134"/>
      <c r="K133" s="134"/>
      <c r="L133" s="134"/>
      <c r="M133" s="122"/>
      <c r="N133" s="122"/>
      <c r="O133" s="122"/>
      <c r="P133" s="122"/>
    </row>
    <row r="134" spans="2:16" ht="12.75">
      <c r="B134" s="139" t="s">
        <v>869</v>
      </c>
      <c r="C134" s="138" t="s">
        <v>457</v>
      </c>
      <c r="D134" s="131" t="s">
        <v>458</v>
      </c>
      <c r="E134" s="132" t="s">
        <v>339</v>
      </c>
      <c r="F134" s="132"/>
      <c r="G134" s="133"/>
      <c r="H134" s="125">
        <v>3343650790</v>
      </c>
      <c r="I134" s="134"/>
      <c r="J134" s="134"/>
      <c r="K134" s="134"/>
      <c r="L134" s="134"/>
      <c r="M134" s="122"/>
      <c r="N134" s="122"/>
      <c r="O134" s="122"/>
      <c r="P134" s="122"/>
    </row>
    <row r="135" spans="2:16" ht="12.75">
      <c r="B135" s="139" t="s">
        <v>870</v>
      </c>
      <c r="C135" s="138" t="s">
        <v>459</v>
      </c>
      <c r="D135" s="131" t="s">
        <v>460</v>
      </c>
      <c r="E135" s="132" t="s">
        <v>339</v>
      </c>
      <c r="F135" s="132"/>
      <c r="G135" s="133"/>
      <c r="H135" s="125"/>
      <c r="I135" s="134"/>
      <c r="J135" s="134"/>
      <c r="K135" s="134"/>
      <c r="L135" s="134"/>
      <c r="M135" s="122"/>
      <c r="N135" s="122"/>
      <c r="O135" s="122"/>
      <c r="P135" s="122"/>
    </row>
    <row r="136" spans="2:16" ht="12.75">
      <c r="B136" s="139" t="s">
        <v>871</v>
      </c>
      <c r="C136" s="138" t="s">
        <v>0</v>
      </c>
      <c r="D136" s="131" t="s">
        <v>147</v>
      </c>
      <c r="E136" s="132" t="s">
        <v>339</v>
      </c>
      <c r="F136" s="132"/>
      <c r="G136" s="133"/>
      <c r="H136" s="125"/>
      <c r="I136" s="134"/>
      <c r="J136" s="134"/>
      <c r="K136" s="134"/>
      <c r="L136" s="134"/>
      <c r="M136" s="122"/>
      <c r="N136" s="122"/>
      <c r="O136" s="122"/>
      <c r="P136" s="122"/>
    </row>
    <row r="137" spans="2:16" ht="12.75">
      <c r="B137" s="139" t="s">
        <v>872</v>
      </c>
      <c r="C137" s="138" t="s">
        <v>1</v>
      </c>
      <c r="D137" s="131" t="s">
        <v>2</v>
      </c>
      <c r="E137" s="132" t="s">
        <v>339</v>
      </c>
      <c r="F137" s="132"/>
      <c r="G137" s="133"/>
      <c r="H137" s="125">
        <v>78000000</v>
      </c>
      <c r="I137" s="134"/>
      <c r="J137" s="134"/>
      <c r="K137" s="134"/>
      <c r="L137" s="134"/>
      <c r="M137" s="122"/>
      <c r="N137" s="122"/>
      <c r="O137" s="122"/>
      <c r="P137" s="122"/>
    </row>
    <row r="138" spans="2:16" ht="12.75">
      <c r="B138" s="139" t="s">
        <v>873</v>
      </c>
      <c r="C138" s="140" t="s">
        <v>3</v>
      </c>
      <c r="D138" s="131" t="s">
        <v>188</v>
      </c>
      <c r="E138" s="132" t="s">
        <v>339</v>
      </c>
      <c r="F138" s="132"/>
      <c r="G138" s="133"/>
      <c r="H138" s="125">
        <v>23000000</v>
      </c>
      <c r="I138" s="134"/>
      <c r="J138" s="134"/>
      <c r="K138" s="134"/>
      <c r="L138" s="134"/>
      <c r="M138" s="122"/>
      <c r="N138" s="122"/>
      <c r="O138" s="122"/>
      <c r="P138" s="122"/>
    </row>
    <row r="139" spans="2:16" ht="12.75">
      <c r="B139" s="139" t="s">
        <v>874</v>
      </c>
      <c r="C139" s="138" t="s">
        <v>300</v>
      </c>
      <c r="D139" s="131" t="s">
        <v>146</v>
      </c>
      <c r="E139" s="132" t="s">
        <v>339</v>
      </c>
      <c r="F139" s="132"/>
      <c r="G139" s="133"/>
      <c r="H139" s="125">
        <v>16000000</v>
      </c>
      <c r="I139" s="134"/>
      <c r="J139" s="134"/>
      <c r="K139" s="134"/>
      <c r="L139" s="134"/>
      <c r="M139" s="122"/>
      <c r="N139" s="122"/>
      <c r="O139" s="122"/>
      <c r="P139" s="122"/>
    </row>
    <row r="140" spans="2:16" ht="12.75">
      <c r="B140" s="139" t="s">
        <v>875</v>
      </c>
      <c r="C140" s="138" t="s">
        <v>301</v>
      </c>
      <c r="D140" s="131" t="s">
        <v>986</v>
      </c>
      <c r="E140" s="132" t="s">
        <v>324</v>
      </c>
      <c r="F140" s="132"/>
      <c r="G140" s="133"/>
      <c r="H140" s="125">
        <v>8000000</v>
      </c>
      <c r="I140" s="134"/>
      <c r="J140" s="134"/>
      <c r="K140" s="134"/>
      <c r="L140" s="134"/>
      <c r="M140" s="122"/>
      <c r="N140" s="122"/>
      <c r="O140" s="122"/>
      <c r="P140" s="122"/>
    </row>
    <row r="141" spans="2:16" ht="12.75">
      <c r="B141" s="139" t="s">
        <v>876</v>
      </c>
      <c r="C141" s="138" t="s">
        <v>4</v>
      </c>
      <c r="D141" s="131" t="s">
        <v>148</v>
      </c>
      <c r="E141" s="132" t="s">
        <v>339</v>
      </c>
      <c r="F141" s="132"/>
      <c r="G141" s="133"/>
      <c r="H141" s="125">
        <v>75000000</v>
      </c>
      <c r="I141" s="134"/>
      <c r="J141" s="134"/>
      <c r="K141" s="134"/>
      <c r="L141" s="134"/>
      <c r="M141" s="122"/>
      <c r="N141" s="122"/>
      <c r="O141" s="122"/>
      <c r="P141" s="122"/>
    </row>
    <row r="142" spans="2:16" ht="12.75">
      <c r="B142" s="139" t="s">
        <v>877</v>
      </c>
      <c r="C142" s="138" t="s">
        <v>6</v>
      </c>
      <c r="D142" s="131" t="s">
        <v>7</v>
      </c>
      <c r="E142" s="132" t="s">
        <v>339</v>
      </c>
      <c r="F142" s="132"/>
      <c r="G142" s="133"/>
      <c r="H142" s="125">
        <v>50000000</v>
      </c>
      <c r="I142" s="134"/>
      <c r="J142" s="134"/>
      <c r="K142" s="134"/>
      <c r="L142" s="134"/>
      <c r="M142" s="122"/>
      <c r="N142" s="122"/>
      <c r="O142" s="122"/>
      <c r="P142" s="122"/>
    </row>
    <row r="143" spans="2:16" ht="12.75">
      <c r="B143" s="139" t="s">
        <v>878</v>
      </c>
      <c r="C143" s="138" t="s">
        <v>8</v>
      </c>
      <c r="D143" s="131" t="s">
        <v>9</v>
      </c>
      <c r="E143" s="132" t="s">
        <v>339</v>
      </c>
      <c r="F143" s="132"/>
      <c r="G143" s="133"/>
      <c r="H143" s="125"/>
      <c r="I143" s="134"/>
      <c r="J143" s="134"/>
      <c r="K143" s="134"/>
      <c r="L143" s="134"/>
      <c r="M143" s="122"/>
      <c r="N143" s="122"/>
      <c r="O143" s="122"/>
      <c r="P143" s="122"/>
    </row>
    <row r="144" spans="2:16" ht="12.75">
      <c r="B144" s="139" t="s">
        <v>878</v>
      </c>
      <c r="C144" s="138" t="s">
        <v>10</v>
      </c>
      <c r="D144" s="131" t="s">
        <v>11</v>
      </c>
      <c r="E144" s="132" t="s">
        <v>339</v>
      </c>
      <c r="F144" s="132"/>
      <c r="G144" s="133"/>
      <c r="H144" s="125"/>
      <c r="I144" s="134"/>
      <c r="J144" s="134"/>
      <c r="K144" s="134"/>
      <c r="L144" s="134"/>
      <c r="M144" s="122"/>
      <c r="N144" s="122"/>
      <c r="O144" s="122"/>
      <c r="P144" s="122"/>
    </row>
    <row r="145" spans="2:16" ht="12.75">
      <c r="B145" s="139" t="s">
        <v>879</v>
      </c>
      <c r="C145" s="138" t="s">
        <v>12</v>
      </c>
      <c r="D145" s="131" t="s">
        <v>149</v>
      </c>
      <c r="E145" s="132" t="s">
        <v>339</v>
      </c>
      <c r="F145" s="132"/>
      <c r="G145" s="133"/>
      <c r="H145" s="125">
        <f>175289986+988010</f>
        <v>176277996</v>
      </c>
      <c r="I145" s="134"/>
      <c r="J145" s="134"/>
      <c r="K145" s="134"/>
      <c r="L145" s="134"/>
      <c r="M145" s="122"/>
      <c r="N145" s="122"/>
      <c r="O145" s="122"/>
      <c r="P145" s="122"/>
    </row>
    <row r="146" spans="2:16" ht="12.75">
      <c r="B146" s="139"/>
      <c r="C146" s="138" t="s">
        <v>13</v>
      </c>
      <c r="D146" s="131" t="s">
        <v>14</v>
      </c>
      <c r="E146" s="132" t="s">
        <v>339</v>
      </c>
      <c r="F146" s="132"/>
      <c r="G146" s="133"/>
      <c r="H146" s="125"/>
      <c r="I146" s="134"/>
      <c r="J146" s="134"/>
      <c r="K146" s="134"/>
      <c r="L146" s="134"/>
      <c r="M146" s="122"/>
      <c r="N146" s="122"/>
      <c r="O146" s="122"/>
      <c r="P146" s="122"/>
    </row>
    <row r="147" spans="2:16" ht="12.75">
      <c r="B147" s="139"/>
      <c r="C147" s="138" t="s">
        <v>15</v>
      </c>
      <c r="D147" s="131" t="s">
        <v>16</v>
      </c>
      <c r="E147" s="132" t="s">
        <v>339</v>
      </c>
      <c r="F147" s="132"/>
      <c r="G147" s="133"/>
      <c r="H147" s="125"/>
      <c r="I147" s="134"/>
      <c r="J147" s="134"/>
      <c r="K147" s="134"/>
      <c r="L147" s="134"/>
      <c r="M147" s="122"/>
      <c r="N147" s="122"/>
      <c r="O147" s="122"/>
      <c r="P147" s="122"/>
    </row>
    <row r="148" spans="2:16" ht="12.75">
      <c r="B148" s="139"/>
      <c r="C148" s="138" t="s">
        <v>17</v>
      </c>
      <c r="D148" s="131" t="s">
        <v>18</v>
      </c>
      <c r="E148" s="132" t="s">
        <v>339</v>
      </c>
      <c r="F148" s="132"/>
      <c r="G148" s="133"/>
      <c r="H148" s="125"/>
      <c r="I148" s="134"/>
      <c r="J148" s="134"/>
      <c r="K148" s="134"/>
      <c r="L148" s="134"/>
      <c r="M148" s="122"/>
      <c r="N148" s="122"/>
      <c r="O148" s="122"/>
      <c r="P148" s="122"/>
    </row>
    <row r="149" spans="2:16" s="124" customFormat="1" ht="12.75">
      <c r="B149" s="139"/>
      <c r="C149" s="138" t="s">
        <v>19</v>
      </c>
      <c r="D149" s="131" t="s">
        <v>14</v>
      </c>
      <c r="E149" s="132" t="s">
        <v>339</v>
      </c>
      <c r="F149" s="132"/>
      <c r="G149" s="133"/>
      <c r="H149" s="125"/>
      <c r="I149" s="134"/>
      <c r="J149" s="134"/>
      <c r="K149" s="134"/>
      <c r="L149" s="134"/>
      <c r="M149" s="122"/>
      <c r="N149" s="122"/>
      <c r="O149" s="122"/>
      <c r="P149" s="122"/>
    </row>
    <row r="150" spans="2:16" s="124" customFormat="1" ht="12.75">
      <c r="B150" s="139"/>
      <c r="C150" s="138" t="s">
        <v>20</v>
      </c>
      <c r="D150" s="131" t="s">
        <v>16</v>
      </c>
      <c r="E150" s="132" t="s">
        <v>339</v>
      </c>
      <c r="F150" s="132"/>
      <c r="G150" s="133"/>
      <c r="H150" s="125"/>
      <c r="I150" s="134"/>
      <c r="J150" s="134"/>
      <c r="K150" s="134"/>
      <c r="L150" s="134"/>
      <c r="M150" s="122"/>
      <c r="N150" s="122"/>
      <c r="O150" s="122"/>
      <c r="P150" s="122"/>
    </row>
    <row r="151" spans="2:16" s="124" customFormat="1" ht="12.75">
      <c r="B151" s="139"/>
      <c r="C151" s="138" t="s">
        <v>21</v>
      </c>
      <c r="D151" s="131" t="s">
        <v>18</v>
      </c>
      <c r="E151" s="132" t="s">
        <v>339</v>
      </c>
      <c r="F151" s="132"/>
      <c r="G151" s="133"/>
      <c r="H151" s="125"/>
      <c r="I151" s="134"/>
      <c r="J151" s="134"/>
      <c r="K151" s="134"/>
      <c r="L151" s="134"/>
      <c r="M151" s="122"/>
      <c r="N151" s="122"/>
      <c r="O151" s="122"/>
      <c r="P151" s="122"/>
    </row>
    <row r="152" spans="2:16" s="123" customFormat="1" ht="12.75">
      <c r="B152" s="139"/>
      <c r="C152" s="138" t="s">
        <v>22</v>
      </c>
      <c r="D152" s="131" t="s">
        <v>737</v>
      </c>
      <c r="E152" s="132" t="s">
        <v>339</v>
      </c>
      <c r="F152" s="132"/>
      <c r="G152" s="133"/>
      <c r="H152" s="125"/>
      <c r="I152" s="134"/>
      <c r="J152" s="134"/>
      <c r="K152" s="134"/>
      <c r="L152" s="134"/>
      <c r="M152" s="122"/>
      <c r="N152" s="122"/>
      <c r="O152" s="122"/>
      <c r="P152" s="122"/>
    </row>
    <row r="153" spans="2:16" s="123" customFormat="1" ht="12.75">
      <c r="B153" s="139"/>
      <c r="C153" s="138" t="s">
        <v>23</v>
      </c>
      <c r="D153" s="131" t="s">
        <v>738</v>
      </c>
      <c r="E153" s="132" t="s">
        <v>339</v>
      </c>
      <c r="F153" s="132"/>
      <c r="G153" s="133"/>
      <c r="H153" s="125"/>
      <c r="I153" s="134"/>
      <c r="J153" s="134"/>
      <c r="K153" s="134"/>
      <c r="L153" s="134"/>
      <c r="M153" s="122"/>
      <c r="N153" s="122"/>
      <c r="O153" s="122"/>
      <c r="P153" s="122"/>
    </row>
    <row r="154" spans="2:16" ht="12.75">
      <c r="B154" s="139"/>
      <c r="C154" s="138" t="s">
        <v>739</v>
      </c>
      <c r="D154" s="131" t="s">
        <v>24</v>
      </c>
      <c r="E154" s="132" t="s">
        <v>324</v>
      </c>
      <c r="F154" s="132"/>
      <c r="G154" s="133"/>
      <c r="H154" s="125"/>
      <c r="I154" s="134"/>
      <c r="J154" s="134"/>
      <c r="K154" s="134"/>
      <c r="L154" s="134"/>
      <c r="M154" s="122"/>
      <c r="N154" s="122"/>
      <c r="O154" s="122"/>
      <c r="P154" s="122"/>
    </row>
    <row r="155" spans="2:16" ht="12.75">
      <c r="B155" s="139"/>
      <c r="C155" s="138" t="s">
        <v>740</v>
      </c>
      <c r="D155" s="131" t="s">
        <v>25</v>
      </c>
      <c r="E155" s="132" t="s">
        <v>324</v>
      </c>
      <c r="F155" s="132"/>
      <c r="G155" s="133"/>
      <c r="H155" s="125"/>
      <c r="I155" s="134"/>
      <c r="J155" s="134"/>
      <c r="K155" s="134"/>
      <c r="L155" s="134"/>
      <c r="M155" s="122"/>
      <c r="N155" s="122"/>
      <c r="O155" s="122"/>
      <c r="P155" s="122"/>
    </row>
    <row r="156" spans="2:16" ht="12.75">
      <c r="B156" s="139"/>
      <c r="C156" s="138" t="s">
        <v>741</v>
      </c>
      <c r="D156" s="131" t="s">
        <v>810</v>
      </c>
      <c r="E156" s="132" t="s">
        <v>324</v>
      </c>
      <c r="F156" s="132"/>
      <c r="G156" s="133"/>
      <c r="H156" s="125"/>
      <c r="I156" s="134"/>
      <c r="J156" s="134"/>
      <c r="K156" s="134"/>
      <c r="L156" s="134"/>
      <c r="M156" s="122"/>
      <c r="N156" s="122"/>
      <c r="O156" s="122"/>
      <c r="P156" s="122"/>
    </row>
    <row r="157" spans="2:16" ht="12.75">
      <c r="B157" s="139"/>
      <c r="C157" s="138" t="s">
        <v>26</v>
      </c>
      <c r="D157" s="131" t="s">
        <v>798</v>
      </c>
      <c r="E157" s="132" t="s">
        <v>324</v>
      </c>
      <c r="F157" s="132"/>
      <c r="G157" s="133"/>
      <c r="H157" s="125"/>
      <c r="I157" s="134"/>
      <c r="J157" s="134"/>
      <c r="K157" s="134"/>
      <c r="L157" s="134"/>
      <c r="M157" s="122"/>
      <c r="N157" s="122"/>
      <c r="O157" s="122"/>
      <c r="P157" s="122"/>
    </row>
    <row r="158" spans="2:16" ht="12.75">
      <c r="B158" s="139"/>
      <c r="C158" s="138" t="s">
        <v>27</v>
      </c>
      <c r="D158" s="131" t="s">
        <v>800</v>
      </c>
      <c r="E158" s="132" t="s">
        <v>324</v>
      </c>
      <c r="F158" s="132"/>
      <c r="G158" s="133"/>
      <c r="H158" s="125"/>
      <c r="I158" s="134"/>
      <c r="J158" s="134"/>
      <c r="K158" s="134"/>
      <c r="L158" s="134"/>
      <c r="M158" s="122"/>
      <c r="N158" s="122"/>
      <c r="O158" s="122"/>
      <c r="P158" s="122"/>
    </row>
    <row r="159" spans="2:16" s="124" customFormat="1" ht="12.75">
      <c r="B159" s="139"/>
      <c r="C159" s="138" t="s">
        <v>28</v>
      </c>
      <c r="D159" s="131" t="s">
        <v>802</v>
      </c>
      <c r="E159" s="132" t="s">
        <v>324</v>
      </c>
      <c r="F159" s="132"/>
      <c r="G159" s="133"/>
      <c r="H159" s="125"/>
      <c r="I159" s="134"/>
      <c r="J159" s="134"/>
      <c r="K159" s="134"/>
      <c r="L159" s="134"/>
      <c r="M159" s="122"/>
      <c r="N159" s="122"/>
      <c r="O159" s="122"/>
      <c r="P159" s="122"/>
    </row>
    <row r="160" spans="2:16" ht="12.75">
      <c r="B160" s="139"/>
      <c r="C160" s="138" t="s">
        <v>29</v>
      </c>
      <c r="D160" s="131" t="s">
        <v>803</v>
      </c>
      <c r="E160" s="132" t="s">
        <v>324</v>
      </c>
      <c r="F160" s="132"/>
      <c r="G160" s="133"/>
      <c r="H160" s="125"/>
      <c r="I160" s="134"/>
      <c r="J160" s="134"/>
      <c r="K160" s="134"/>
      <c r="L160" s="134"/>
      <c r="M160" s="122"/>
      <c r="N160" s="122"/>
      <c r="O160" s="122"/>
      <c r="P160" s="122"/>
    </row>
    <row r="161" spans="2:16" ht="12.75">
      <c r="B161" s="139"/>
      <c r="C161" s="138" t="s">
        <v>30</v>
      </c>
      <c r="D161" s="131" t="s">
        <v>799</v>
      </c>
      <c r="E161" s="132" t="s">
        <v>324</v>
      </c>
      <c r="F161" s="132"/>
      <c r="G161" s="133"/>
      <c r="H161" s="125"/>
      <c r="I161" s="134"/>
      <c r="J161" s="134"/>
      <c r="K161" s="134"/>
      <c r="L161" s="134"/>
      <c r="M161" s="122"/>
      <c r="N161" s="122"/>
      <c r="O161" s="122"/>
      <c r="P161" s="122"/>
    </row>
    <row r="162" spans="2:16" ht="12.75">
      <c r="B162" s="139"/>
      <c r="C162" s="138" t="s">
        <v>31</v>
      </c>
      <c r="D162" s="131" t="s">
        <v>801</v>
      </c>
      <c r="E162" s="132" t="s">
        <v>324</v>
      </c>
      <c r="F162" s="132"/>
      <c r="G162" s="133"/>
      <c r="H162" s="125"/>
      <c r="I162" s="134"/>
      <c r="J162" s="134"/>
      <c r="K162" s="134"/>
      <c r="L162" s="134"/>
      <c r="M162" s="122"/>
      <c r="N162" s="122"/>
      <c r="O162" s="122"/>
      <c r="P162" s="122"/>
    </row>
    <row r="163" spans="2:16" ht="12.75">
      <c r="B163" s="139"/>
      <c r="C163" s="138" t="s">
        <v>32</v>
      </c>
      <c r="D163" s="131" t="s">
        <v>805</v>
      </c>
      <c r="E163" s="132" t="s">
        <v>324</v>
      </c>
      <c r="F163" s="132"/>
      <c r="G163" s="133"/>
      <c r="H163" s="125"/>
      <c r="I163" s="134"/>
      <c r="J163" s="134"/>
      <c r="K163" s="134"/>
      <c r="L163" s="134"/>
      <c r="M163" s="122"/>
      <c r="N163" s="122"/>
      <c r="O163" s="122"/>
      <c r="P163" s="122"/>
    </row>
    <row r="164" spans="2:16" ht="12.75">
      <c r="B164" s="139"/>
      <c r="C164" s="138" t="s">
        <v>33</v>
      </c>
      <c r="D164" s="131" t="s">
        <v>804</v>
      </c>
      <c r="E164" s="132" t="s">
        <v>324</v>
      </c>
      <c r="F164" s="132"/>
      <c r="G164" s="133"/>
      <c r="H164" s="125"/>
      <c r="I164" s="134"/>
      <c r="J164" s="134"/>
      <c r="K164" s="134"/>
      <c r="L164" s="134"/>
      <c r="M164" s="122"/>
      <c r="N164" s="122"/>
      <c r="O164" s="122"/>
      <c r="P164" s="122"/>
    </row>
    <row r="165" spans="2:16" ht="12.75">
      <c r="B165" s="139"/>
      <c r="C165" s="138" t="s">
        <v>34</v>
      </c>
      <c r="D165" s="131" t="s">
        <v>35</v>
      </c>
      <c r="E165" s="132" t="s">
        <v>324</v>
      </c>
      <c r="F165" s="132"/>
      <c r="G165" s="133"/>
      <c r="H165" s="125"/>
      <c r="I165" s="134"/>
      <c r="J165" s="134"/>
      <c r="K165" s="134"/>
      <c r="L165" s="134"/>
      <c r="M165" s="122"/>
      <c r="N165" s="122"/>
      <c r="O165" s="122"/>
      <c r="P165" s="122"/>
    </row>
    <row r="166" spans="2:16" ht="12.75">
      <c r="B166" s="139"/>
      <c r="C166" s="138" t="s">
        <v>36</v>
      </c>
      <c r="D166" s="131" t="s">
        <v>37</v>
      </c>
      <c r="E166" s="132" t="s">
        <v>324</v>
      </c>
      <c r="F166" s="132"/>
      <c r="G166" s="133"/>
      <c r="H166" s="125"/>
      <c r="I166" s="134"/>
      <c r="J166" s="134"/>
      <c r="K166" s="134"/>
      <c r="L166" s="134"/>
      <c r="M166" s="122"/>
      <c r="N166" s="122"/>
      <c r="O166" s="122"/>
      <c r="P166" s="122"/>
    </row>
    <row r="167" spans="2:16" ht="12.75">
      <c r="B167" s="139"/>
      <c r="C167" s="138" t="s">
        <v>38</v>
      </c>
      <c r="D167" s="131" t="s">
        <v>39</v>
      </c>
      <c r="E167" s="132" t="s">
        <v>324</v>
      </c>
      <c r="F167" s="132"/>
      <c r="G167" s="133"/>
      <c r="H167" s="125"/>
      <c r="I167" s="134"/>
      <c r="J167" s="134"/>
      <c r="K167" s="134"/>
      <c r="L167" s="134"/>
      <c r="M167" s="122"/>
      <c r="N167" s="122"/>
      <c r="O167" s="122"/>
      <c r="P167" s="122"/>
    </row>
    <row r="168" spans="2:16" ht="12.75">
      <c r="B168" s="139"/>
      <c r="C168" s="138" t="s">
        <v>40</v>
      </c>
      <c r="D168" s="131" t="s">
        <v>41</v>
      </c>
      <c r="E168" s="132" t="s">
        <v>324</v>
      </c>
      <c r="F168" s="132"/>
      <c r="G168" s="133"/>
      <c r="H168" s="125"/>
      <c r="I168" s="134"/>
      <c r="J168" s="134"/>
      <c r="K168" s="134"/>
      <c r="L168" s="134"/>
      <c r="M168" s="122"/>
      <c r="N168" s="122"/>
      <c r="O168" s="122"/>
      <c r="P168" s="122"/>
    </row>
    <row r="169" spans="2:16" ht="12.75">
      <c r="B169" s="139"/>
      <c r="C169" s="138" t="s">
        <v>42</v>
      </c>
      <c r="D169" s="131" t="s">
        <v>43</v>
      </c>
      <c r="E169" s="132" t="s">
        <v>324</v>
      </c>
      <c r="F169" s="132"/>
      <c r="G169" s="133"/>
      <c r="H169" s="125"/>
      <c r="I169" s="134"/>
      <c r="J169" s="134"/>
      <c r="K169" s="134"/>
      <c r="L169" s="134"/>
      <c r="M169" s="122"/>
      <c r="N169" s="122"/>
      <c r="O169" s="122"/>
      <c r="P169" s="122"/>
    </row>
    <row r="170" spans="2:16" ht="12.75">
      <c r="B170" s="139"/>
      <c r="C170" s="138" t="s">
        <v>44</v>
      </c>
      <c r="D170" s="131" t="s">
        <v>45</v>
      </c>
      <c r="E170" s="132" t="s">
        <v>324</v>
      </c>
      <c r="F170" s="132"/>
      <c r="G170" s="133"/>
      <c r="H170" s="125"/>
      <c r="I170" s="134"/>
      <c r="J170" s="134"/>
      <c r="K170" s="134"/>
      <c r="L170" s="134"/>
      <c r="M170" s="122"/>
      <c r="N170" s="122"/>
      <c r="O170" s="122"/>
      <c r="P170" s="122"/>
    </row>
    <row r="171" spans="2:16" ht="12.75">
      <c r="B171" s="139"/>
      <c r="C171" s="138" t="s">
        <v>46</v>
      </c>
      <c r="D171" s="131" t="s">
        <v>47</v>
      </c>
      <c r="E171" s="132" t="s">
        <v>324</v>
      </c>
      <c r="F171" s="132"/>
      <c r="G171" s="133"/>
      <c r="H171" s="125"/>
      <c r="I171" s="134"/>
      <c r="J171" s="134"/>
      <c r="K171" s="134"/>
      <c r="L171" s="134"/>
      <c r="M171" s="122"/>
      <c r="N171" s="122"/>
      <c r="O171" s="122"/>
      <c r="P171" s="122"/>
    </row>
    <row r="172" spans="2:16" ht="12.75">
      <c r="B172" s="139"/>
      <c r="C172" s="138" t="s">
        <v>48</v>
      </c>
      <c r="D172" s="131" t="s">
        <v>49</v>
      </c>
      <c r="E172" s="132" t="s">
        <v>324</v>
      </c>
      <c r="F172" s="132"/>
      <c r="G172" s="133"/>
      <c r="H172" s="125"/>
      <c r="I172" s="134"/>
      <c r="J172" s="134"/>
      <c r="K172" s="134"/>
      <c r="L172" s="134"/>
      <c r="M172" s="122"/>
      <c r="N172" s="122"/>
      <c r="O172" s="122"/>
      <c r="P172" s="122"/>
    </row>
    <row r="173" spans="2:16" ht="12.75">
      <c r="B173" s="139"/>
      <c r="C173" s="138" t="s">
        <v>50</v>
      </c>
      <c r="D173" s="131" t="s">
        <v>51</v>
      </c>
      <c r="E173" s="132" t="s">
        <v>324</v>
      </c>
      <c r="F173" s="132"/>
      <c r="G173" s="133"/>
      <c r="H173" s="125"/>
      <c r="I173" s="134"/>
      <c r="J173" s="134"/>
      <c r="K173" s="134"/>
      <c r="L173" s="134"/>
      <c r="M173" s="122"/>
      <c r="N173" s="122"/>
      <c r="O173" s="122"/>
      <c r="P173" s="122"/>
    </row>
    <row r="174" spans="2:16" ht="12.75">
      <c r="B174" s="139"/>
      <c r="C174" s="138" t="s">
        <v>52</v>
      </c>
      <c r="D174" s="131" t="s">
        <v>53</v>
      </c>
      <c r="E174" s="132" t="s">
        <v>324</v>
      </c>
      <c r="F174" s="132"/>
      <c r="G174" s="133"/>
      <c r="H174" s="125"/>
      <c r="I174" s="134"/>
      <c r="J174" s="134"/>
      <c r="K174" s="134"/>
      <c r="L174" s="134"/>
      <c r="M174" s="122"/>
      <c r="N174" s="122"/>
      <c r="O174" s="122"/>
      <c r="P174" s="122"/>
    </row>
    <row r="175" spans="2:16" ht="12.75">
      <c r="B175" s="139"/>
      <c r="C175" s="138" t="s">
        <v>54</v>
      </c>
      <c r="D175" s="131" t="s">
        <v>55</v>
      </c>
      <c r="E175" s="132" t="s">
        <v>324</v>
      </c>
      <c r="F175" s="132"/>
      <c r="G175" s="133"/>
      <c r="H175" s="125"/>
      <c r="I175" s="134"/>
      <c r="J175" s="134"/>
      <c r="K175" s="134"/>
      <c r="L175" s="134"/>
      <c r="M175" s="122"/>
      <c r="N175" s="122"/>
      <c r="O175" s="122"/>
      <c r="P175" s="122"/>
    </row>
    <row r="176" spans="2:16" ht="12.75">
      <c r="B176" s="139"/>
      <c r="C176" s="138" t="s">
        <v>56</v>
      </c>
      <c r="D176" s="131" t="s">
        <v>57</v>
      </c>
      <c r="E176" s="132" t="s">
        <v>324</v>
      </c>
      <c r="F176" s="132"/>
      <c r="G176" s="133"/>
      <c r="H176" s="125"/>
      <c r="I176" s="134"/>
      <c r="J176" s="134"/>
      <c r="K176" s="134"/>
      <c r="L176" s="134"/>
      <c r="M176" s="122"/>
      <c r="N176" s="122"/>
      <c r="O176" s="122"/>
      <c r="P176" s="122"/>
    </row>
    <row r="177" spans="2:16" s="123" customFormat="1" ht="12.75">
      <c r="B177" s="139"/>
      <c r="C177" s="141" t="s">
        <v>58</v>
      </c>
      <c r="D177" s="131" t="s">
        <v>59</v>
      </c>
      <c r="E177" s="132" t="s">
        <v>324</v>
      </c>
      <c r="F177" s="132"/>
      <c r="G177" s="133"/>
      <c r="H177" s="125"/>
      <c r="I177" s="134"/>
      <c r="J177" s="134"/>
      <c r="K177" s="134"/>
      <c r="L177" s="134"/>
      <c r="M177" s="122"/>
      <c r="N177" s="122"/>
      <c r="O177" s="122"/>
      <c r="P177" s="122"/>
    </row>
    <row r="178" spans="2:16" s="123" customFormat="1" ht="12.75">
      <c r="B178" s="139"/>
      <c r="C178" s="141" t="s">
        <v>60</v>
      </c>
      <c r="D178" s="131" t="s">
        <v>61</v>
      </c>
      <c r="E178" s="132" t="s">
        <v>324</v>
      </c>
      <c r="F178" s="132"/>
      <c r="G178" s="133"/>
      <c r="H178" s="125"/>
      <c r="I178" s="134"/>
      <c r="J178" s="134"/>
      <c r="K178" s="134"/>
      <c r="L178" s="134"/>
      <c r="M178" s="122"/>
      <c r="N178" s="122"/>
      <c r="O178" s="122"/>
      <c r="P178" s="122"/>
    </row>
    <row r="179" spans="2:16" ht="12.75">
      <c r="B179" s="139"/>
      <c r="C179" s="138" t="s">
        <v>62</v>
      </c>
      <c r="D179" s="131" t="s">
        <v>63</v>
      </c>
      <c r="E179" s="132" t="s">
        <v>324</v>
      </c>
      <c r="F179" s="132"/>
      <c r="G179" s="133"/>
      <c r="H179" s="125"/>
      <c r="I179" s="134"/>
      <c r="J179" s="134"/>
      <c r="K179" s="134"/>
      <c r="L179" s="134"/>
      <c r="M179" s="122"/>
      <c r="N179" s="122"/>
      <c r="O179" s="122"/>
      <c r="P179" s="122"/>
    </row>
    <row r="180" spans="2:16" ht="12.75">
      <c r="B180" s="139"/>
      <c r="C180" s="138" t="s">
        <v>64</v>
      </c>
      <c r="D180" s="131" t="s">
        <v>65</v>
      </c>
      <c r="E180" s="132" t="s">
        <v>324</v>
      </c>
      <c r="F180" s="132"/>
      <c r="G180" s="133"/>
      <c r="H180" s="125"/>
      <c r="I180" s="134"/>
      <c r="J180" s="134"/>
      <c r="K180" s="134"/>
      <c r="L180" s="134"/>
      <c r="M180" s="122"/>
      <c r="N180" s="122"/>
      <c r="O180" s="122"/>
      <c r="P180" s="122"/>
    </row>
    <row r="181" spans="2:16" ht="12.75">
      <c r="B181" s="139"/>
      <c r="C181" s="138" t="s">
        <v>66</v>
      </c>
      <c r="D181" s="131" t="s">
        <v>67</v>
      </c>
      <c r="E181" s="132" t="s">
        <v>324</v>
      </c>
      <c r="F181" s="132"/>
      <c r="G181" s="133"/>
      <c r="H181" s="125"/>
      <c r="I181" s="134"/>
      <c r="J181" s="134"/>
      <c r="K181" s="134"/>
      <c r="L181" s="134"/>
      <c r="M181" s="122"/>
      <c r="N181" s="122"/>
      <c r="O181" s="122"/>
      <c r="P181" s="122"/>
    </row>
    <row r="182" spans="2:16" ht="12.75">
      <c r="B182" s="139"/>
      <c r="C182" s="138" t="s">
        <v>68</v>
      </c>
      <c r="D182" s="131" t="s">
        <v>69</v>
      </c>
      <c r="E182" s="132" t="s">
        <v>324</v>
      </c>
      <c r="F182" s="132"/>
      <c r="G182" s="133"/>
      <c r="H182" s="125"/>
      <c r="I182" s="134"/>
      <c r="J182" s="134"/>
      <c r="K182" s="134"/>
      <c r="L182" s="134"/>
      <c r="M182" s="122"/>
      <c r="N182" s="122"/>
      <c r="O182" s="122"/>
      <c r="P182" s="122"/>
    </row>
    <row r="183" spans="2:16" ht="12.75">
      <c r="B183" s="139"/>
      <c r="C183" s="138" t="s">
        <v>70</v>
      </c>
      <c r="D183" s="131" t="s">
        <v>71</v>
      </c>
      <c r="E183" s="132" t="s">
        <v>324</v>
      </c>
      <c r="F183" s="132"/>
      <c r="G183" s="133"/>
      <c r="H183" s="125"/>
      <c r="I183" s="134"/>
      <c r="J183" s="134"/>
      <c r="K183" s="134"/>
      <c r="L183" s="134"/>
      <c r="M183" s="122"/>
      <c r="N183" s="122"/>
      <c r="O183" s="122"/>
      <c r="P183" s="122"/>
    </row>
    <row r="184" spans="2:16" ht="12.75">
      <c r="B184" s="139"/>
      <c r="C184" s="138" t="s">
        <v>72</v>
      </c>
      <c r="D184" s="131" t="s">
        <v>73</v>
      </c>
      <c r="E184" s="132" t="s">
        <v>324</v>
      </c>
      <c r="F184" s="132"/>
      <c r="G184" s="133"/>
      <c r="H184" s="125"/>
      <c r="I184" s="134"/>
      <c r="J184" s="134"/>
      <c r="K184" s="134"/>
      <c r="L184" s="134"/>
      <c r="M184" s="122"/>
      <c r="N184" s="122"/>
      <c r="O184" s="122"/>
      <c r="P184" s="122"/>
    </row>
    <row r="185" spans="2:16" ht="12.75">
      <c r="B185" s="139"/>
      <c r="C185" s="138" t="s">
        <v>74</v>
      </c>
      <c r="D185" s="131" t="s">
        <v>75</v>
      </c>
      <c r="E185" s="132" t="s">
        <v>324</v>
      </c>
      <c r="F185" s="132"/>
      <c r="G185" s="133"/>
      <c r="H185" s="125"/>
      <c r="I185" s="134"/>
      <c r="J185" s="134"/>
      <c r="K185" s="134"/>
      <c r="L185" s="134"/>
      <c r="M185" s="122"/>
      <c r="N185" s="122"/>
      <c r="O185" s="122"/>
      <c r="P185" s="122"/>
    </row>
    <row r="186" spans="2:16" ht="12.75">
      <c r="B186" s="139"/>
      <c r="C186" s="138" t="s">
        <v>76</v>
      </c>
      <c r="D186" s="131" t="s">
        <v>77</v>
      </c>
      <c r="E186" s="132" t="s">
        <v>324</v>
      </c>
      <c r="F186" s="132"/>
      <c r="G186" s="133"/>
      <c r="H186" s="125"/>
      <c r="I186" s="134"/>
      <c r="J186" s="134"/>
      <c r="K186" s="134"/>
      <c r="L186" s="134"/>
      <c r="M186" s="122"/>
      <c r="N186" s="122"/>
      <c r="O186" s="122"/>
      <c r="P186" s="122"/>
    </row>
    <row r="187" spans="2:16" ht="12.75">
      <c r="B187" s="139"/>
      <c r="C187" s="138" t="s">
        <v>78</v>
      </c>
      <c r="D187" s="131" t="s">
        <v>79</v>
      </c>
      <c r="E187" s="132" t="s">
        <v>324</v>
      </c>
      <c r="F187" s="132"/>
      <c r="G187" s="133"/>
      <c r="H187" s="125"/>
      <c r="I187" s="134"/>
      <c r="J187" s="134"/>
      <c r="K187" s="134"/>
      <c r="L187" s="134"/>
      <c r="M187" s="122"/>
      <c r="N187" s="122"/>
      <c r="O187" s="122"/>
      <c r="P187" s="122"/>
    </row>
    <row r="188" spans="2:16" ht="12.75">
      <c r="B188" s="139"/>
      <c r="C188" s="138" t="s">
        <v>80</v>
      </c>
      <c r="D188" s="131" t="s">
        <v>81</v>
      </c>
      <c r="E188" s="132" t="s">
        <v>324</v>
      </c>
      <c r="F188" s="132"/>
      <c r="G188" s="133"/>
      <c r="H188" s="125"/>
      <c r="I188" s="134"/>
      <c r="J188" s="134"/>
      <c r="K188" s="134"/>
      <c r="L188" s="134"/>
      <c r="M188" s="122"/>
      <c r="N188" s="122"/>
      <c r="O188" s="122"/>
      <c r="P188" s="122"/>
    </row>
    <row r="189" spans="2:16" ht="12.75">
      <c r="B189" s="139"/>
      <c r="C189" s="138" t="s">
        <v>82</v>
      </c>
      <c r="D189" s="131" t="s">
        <v>83</v>
      </c>
      <c r="E189" s="132" t="s">
        <v>324</v>
      </c>
      <c r="F189" s="132"/>
      <c r="G189" s="133"/>
      <c r="H189" s="125"/>
      <c r="I189" s="134"/>
      <c r="J189" s="134"/>
      <c r="K189" s="134"/>
      <c r="L189" s="134"/>
      <c r="M189" s="122"/>
      <c r="N189" s="122"/>
      <c r="O189" s="122"/>
      <c r="P189" s="122"/>
    </row>
    <row r="190" spans="2:16" ht="12.75">
      <c r="B190" s="139"/>
      <c r="C190" s="138" t="s">
        <v>84</v>
      </c>
      <c r="D190" s="131" t="s">
        <v>85</v>
      </c>
      <c r="E190" s="132" t="s">
        <v>324</v>
      </c>
      <c r="F190" s="132"/>
      <c r="G190" s="133"/>
      <c r="H190" s="125"/>
      <c r="I190" s="134"/>
      <c r="J190" s="134"/>
      <c r="K190" s="134"/>
      <c r="L190" s="134"/>
      <c r="M190" s="122"/>
      <c r="N190" s="122"/>
      <c r="O190" s="122"/>
      <c r="P190" s="122"/>
    </row>
    <row r="191" spans="2:16" ht="12.75">
      <c r="B191" s="139"/>
      <c r="C191" s="138" t="s">
        <v>86</v>
      </c>
      <c r="D191" s="131" t="s">
        <v>87</v>
      </c>
      <c r="E191" s="132" t="s">
        <v>324</v>
      </c>
      <c r="F191" s="132"/>
      <c r="G191" s="133"/>
      <c r="H191" s="125"/>
      <c r="I191" s="134"/>
      <c r="J191" s="134"/>
      <c r="K191" s="134"/>
      <c r="L191" s="134"/>
      <c r="M191" s="122"/>
      <c r="N191" s="122"/>
      <c r="O191" s="122"/>
      <c r="P191" s="122"/>
    </row>
    <row r="192" spans="2:16" ht="12.75">
      <c r="B192" s="139"/>
      <c r="C192" s="138" t="s">
        <v>88</v>
      </c>
      <c r="D192" s="131" t="s">
        <v>89</v>
      </c>
      <c r="E192" s="132" t="s">
        <v>324</v>
      </c>
      <c r="F192" s="132"/>
      <c r="G192" s="133"/>
      <c r="H192" s="125"/>
      <c r="I192" s="134"/>
      <c r="J192" s="134"/>
      <c r="K192" s="134"/>
      <c r="L192" s="134"/>
      <c r="M192" s="122"/>
      <c r="N192" s="122"/>
      <c r="O192" s="122"/>
      <c r="P192" s="122"/>
    </row>
    <row r="193" spans="2:16" ht="12.75">
      <c r="B193" s="139"/>
      <c r="C193" s="138" t="s">
        <v>90</v>
      </c>
      <c r="D193" s="131" t="s">
        <v>91</v>
      </c>
      <c r="E193" s="132" t="s">
        <v>324</v>
      </c>
      <c r="F193" s="132"/>
      <c r="G193" s="133"/>
      <c r="H193" s="125"/>
      <c r="I193" s="134"/>
      <c r="J193" s="134"/>
      <c r="K193" s="134"/>
      <c r="L193" s="134"/>
      <c r="M193" s="122"/>
      <c r="N193" s="122"/>
      <c r="O193" s="122"/>
      <c r="P193" s="122"/>
    </row>
    <row r="194" spans="2:16" s="124" customFormat="1" ht="12.75">
      <c r="B194" s="139"/>
      <c r="C194" s="138" t="s">
        <v>92</v>
      </c>
      <c r="D194" s="131" t="s">
        <v>93</v>
      </c>
      <c r="E194" s="132" t="s">
        <v>324</v>
      </c>
      <c r="F194" s="132"/>
      <c r="G194" s="133"/>
      <c r="H194" s="125"/>
      <c r="I194" s="134"/>
      <c r="J194" s="134"/>
      <c r="K194" s="134"/>
      <c r="L194" s="134"/>
      <c r="M194" s="122"/>
      <c r="N194" s="122"/>
      <c r="O194" s="122"/>
      <c r="P194" s="122"/>
    </row>
    <row r="195" spans="2:16" ht="12.75">
      <c r="B195" s="139"/>
      <c r="C195" s="138" t="s">
        <v>94</v>
      </c>
      <c r="D195" s="131" t="s">
        <v>189</v>
      </c>
      <c r="E195" s="132" t="s">
        <v>324</v>
      </c>
      <c r="F195" s="132"/>
      <c r="G195" s="133"/>
      <c r="H195" s="125"/>
      <c r="I195" s="134"/>
      <c r="J195" s="134"/>
      <c r="K195" s="134"/>
      <c r="L195" s="134"/>
      <c r="M195" s="122"/>
      <c r="N195" s="122"/>
      <c r="O195" s="122"/>
      <c r="P195" s="122"/>
    </row>
    <row r="196" spans="2:16" ht="12.75">
      <c r="B196" s="139"/>
      <c r="C196" s="138" t="s">
        <v>96</v>
      </c>
      <c r="D196" s="131" t="s">
        <v>95</v>
      </c>
      <c r="E196" s="132" t="s">
        <v>324</v>
      </c>
      <c r="F196" s="132"/>
      <c r="G196" s="133"/>
      <c r="H196" s="125"/>
      <c r="I196" s="134"/>
      <c r="J196" s="134"/>
      <c r="K196" s="134"/>
      <c r="L196" s="134"/>
      <c r="M196" s="122"/>
      <c r="N196" s="122"/>
      <c r="O196" s="122"/>
      <c r="P196" s="122"/>
    </row>
    <row r="197" spans="2:16" s="123" customFormat="1" ht="12.75">
      <c r="B197" s="139"/>
      <c r="C197" s="138" t="s">
        <v>97</v>
      </c>
      <c r="D197" s="131" t="s">
        <v>98</v>
      </c>
      <c r="E197" s="132" t="s">
        <v>339</v>
      </c>
      <c r="F197" s="132"/>
      <c r="G197" s="133"/>
      <c r="H197" s="125"/>
      <c r="I197" s="134"/>
      <c r="J197" s="134"/>
      <c r="K197" s="134"/>
      <c r="L197" s="134"/>
      <c r="M197" s="122"/>
      <c r="N197" s="122"/>
      <c r="O197" s="122"/>
      <c r="P197" s="122"/>
    </row>
    <row r="198" spans="2:16" s="123" customFormat="1" ht="12.75">
      <c r="B198" s="139"/>
      <c r="C198" s="138" t="s">
        <v>99</v>
      </c>
      <c r="D198" s="131" t="s">
        <v>100</v>
      </c>
      <c r="E198" s="132" t="s">
        <v>339</v>
      </c>
      <c r="F198" s="132"/>
      <c r="G198" s="133"/>
      <c r="H198" s="125"/>
      <c r="I198" s="134"/>
      <c r="J198" s="134"/>
      <c r="K198" s="134"/>
      <c r="L198" s="134"/>
      <c r="M198" s="122"/>
      <c r="N198" s="122"/>
      <c r="O198" s="122"/>
      <c r="P198" s="122"/>
    </row>
    <row r="199" spans="2:16" ht="12.75">
      <c r="B199" s="139"/>
      <c r="C199" s="138" t="s">
        <v>101</v>
      </c>
      <c r="D199" s="131" t="s">
        <v>151</v>
      </c>
      <c r="E199" s="132" t="s">
        <v>324</v>
      </c>
      <c r="F199" s="132"/>
      <c r="G199" s="133"/>
      <c r="H199" s="125"/>
      <c r="I199" s="134"/>
      <c r="J199" s="134"/>
      <c r="K199" s="134"/>
      <c r="L199" s="134"/>
      <c r="M199" s="122"/>
      <c r="N199" s="122"/>
      <c r="O199" s="122"/>
      <c r="P199" s="122"/>
    </row>
    <row r="200" spans="2:16" ht="12.75">
      <c r="B200" s="139"/>
      <c r="C200" s="140" t="s">
        <v>461</v>
      </c>
      <c r="D200" s="131" t="s">
        <v>462</v>
      </c>
      <c r="E200" s="132" t="s">
        <v>324</v>
      </c>
      <c r="F200" s="132"/>
      <c r="G200" s="133"/>
      <c r="H200" s="125"/>
      <c r="I200" s="134"/>
      <c r="J200" s="134"/>
      <c r="K200" s="134"/>
      <c r="L200" s="134"/>
      <c r="M200" s="122"/>
      <c r="N200" s="122"/>
      <c r="O200" s="122"/>
      <c r="P200" s="122"/>
    </row>
    <row r="201" spans="2:16" ht="12.75">
      <c r="B201" s="139"/>
      <c r="C201" s="138" t="s">
        <v>102</v>
      </c>
      <c r="D201" s="131" t="s">
        <v>103</v>
      </c>
      <c r="E201" s="132" t="s">
        <v>339</v>
      </c>
      <c r="F201" s="132"/>
      <c r="G201" s="133"/>
      <c r="H201" s="125"/>
      <c r="I201" s="134"/>
      <c r="J201" s="134"/>
      <c r="K201" s="134"/>
      <c r="L201" s="134"/>
      <c r="M201" s="122"/>
      <c r="N201" s="122"/>
      <c r="O201" s="122"/>
      <c r="P201" s="122"/>
    </row>
    <row r="202" ht="12.75">
      <c r="K202" s="130"/>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sheetPr>
    <tabColor theme="0"/>
  </sheetPr>
  <dimension ref="B2:Y991"/>
  <sheetViews>
    <sheetView showGridLines="0" zoomScale="70" zoomScaleNormal="70" zoomScalePageLayoutView="0" workbookViewId="0" topLeftCell="A4">
      <selection activeCell="T18" sqref="T18"/>
    </sheetView>
  </sheetViews>
  <sheetFormatPr defaultColWidth="14.421875" defaultRowHeight="12.75"/>
  <cols>
    <col min="1" max="1" width="6.57421875" style="0" customWidth="1"/>
    <col min="2" max="2" width="3.8515625" style="0" customWidth="1"/>
    <col min="3" max="3" width="7.00390625" style="0" customWidth="1"/>
    <col min="4" max="4" width="23.57421875" style="0" customWidth="1"/>
    <col min="5" max="6" width="9.140625" style="0" customWidth="1"/>
    <col min="7" max="7" width="13.57421875" style="0" customWidth="1"/>
    <col min="8" max="8" width="21.28125" style="0" customWidth="1"/>
    <col min="9" max="9" width="9.140625" style="0" customWidth="1"/>
    <col min="10" max="10" width="14.421875" style="0" customWidth="1"/>
    <col min="11" max="11" width="19.421875" style="0" customWidth="1"/>
    <col min="12" max="12" width="15.7109375" style="0" customWidth="1"/>
    <col min="13" max="13" width="14.28125" style="0" customWidth="1"/>
    <col min="14" max="14" width="15.7109375" style="0" customWidth="1"/>
    <col min="15" max="15" width="20.28125" style="0" customWidth="1"/>
    <col min="16" max="16" width="11.140625" style="0" customWidth="1"/>
    <col min="17" max="17" width="10.421875" style="0" customWidth="1"/>
    <col min="18" max="18" width="10.140625" style="0" customWidth="1"/>
    <col min="19" max="25" width="9.140625" style="0" customWidth="1"/>
  </cols>
  <sheetData>
    <row r="2" spans="2:25" ht="19.5" customHeight="1">
      <c r="B2" s="57" t="s">
        <v>611</v>
      </c>
      <c r="C2" s="58"/>
      <c r="D2" s="59"/>
      <c r="E2" s="59"/>
      <c r="F2" s="60"/>
      <c r="G2" s="60"/>
      <c r="H2" s="60"/>
      <c r="I2" s="60"/>
      <c r="J2" s="60"/>
      <c r="K2" s="60"/>
      <c r="L2" s="60"/>
      <c r="M2" s="60"/>
      <c r="N2" s="60"/>
      <c r="O2" s="60"/>
      <c r="P2" s="60"/>
      <c r="Q2" s="60"/>
      <c r="R2" s="60"/>
      <c r="S2" s="60"/>
      <c r="T2" s="60"/>
      <c r="U2" s="60"/>
      <c r="V2" s="60"/>
      <c r="W2" s="60"/>
      <c r="X2" s="60"/>
      <c r="Y2" s="60"/>
    </row>
    <row r="3" spans="2:25" ht="19.5" customHeight="1">
      <c r="B3" s="57" t="s">
        <v>468</v>
      </c>
      <c r="C3" s="58"/>
      <c r="D3" s="59"/>
      <c r="E3" s="59"/>
      <c r="F3" s="60"/>
      <c r="G3" s="60"/>
      <c r="H3" s="60"/>
      <c r="I3" s="60"/>
      <c r="J3" s="60"/>
      <c r="K3" s="60"/>
      <c r="L3" s="60"/>
      <c r="M3" s="60"/>
      <c r="N3" s="60"/>
      <c r="O3" s="60"/>
      <c r="P3" s="60"/>
      <c r="Q3" s="60"/>
      <c r="R3" s="60"/>
      <c r="S3" s="60"/>
      <c r="T3" s="60"/>
      <c r="U3" s="60"/>
      <c r="V3" s="60"/>
      <c r="W3" s="60"/>
      <c r="X3" s="60"/>
      <c r="Y3" s="60"/>
    </row>
    <row r="4" spans="2:25" ht="19.5" customHeight="1">
      <c r="B4" s="57" t="s">
        <v>886</v>
      </c>
      <c r="C4" s="58"/>
      <c r="D4" s="59"/>
      <c r="E4" s="59"/>
      <c r="F4" s="60"/>
      <c r="G4" s="60"/>
      <c r="H4" s="60"/>
      <c r="I4" s="60"/>
      <c r="J4" s="60"/>
      <c r="K4" s="60"/>
      <c r="L4" s="60"/>
      <c r="M4" s="60"/>
      <c r="N4" s="60"/>
      <c r="O4" s="60"/>
      <c r="P4" s="60"/>
      <c r="Q4" s="60"/>
      <c r="R4" s="60"/>
      <c r="S4" s="60"/>
      <c r="T4" s="60"/>
      <c r="U4" s="60"/>
      <c r="V4" s="60"/>
      <c r="W4" s="60"/>
      <c r="X4" s="60"/>
      <c r="Y4" s="60"/>
    </row>
    <row r="5" spans="2:25" ht="30" customHeight="1">
      <c r="B5" s="239" t="s">
        <v>909</v>
      </c>
      <c r="C5" s="240"/>
      <c r="D5" s="240"/>
      <c r="E5" s="240"/>
      <c r="F5" s="240"/>
      <c r="G5" s="240"/>
      <c r="H5" s="240"/>
      <c r="I5" s="240"/>
      <c r="J5" s="240"/>
      <c r="K5" s="240"/>
      <c r="L5" s="240"/>
      <c r="M5" s="240"/>
      <c r="N5" s="240"/>
      <c r="O5" s="240"/>
      <c r="P5" s="240"/>
      <c r="Q5" s="240"/>
      <c r="R5" s="240"/>
      <c r="S5" s="60"/>
      <c r="T5" s="60"/>
      <c r="U5" s="60"/>
      <c r="V5" s="60"/>
      <c r="W5" s="60"/>
      <c r="X5" s="60"/>
      <c r="Y5" s="60"/>
    </row>
    <row r="6" spans="2:25" ht="18.75">
      <c r="B6" s="241" t="s">
        <v>904</v>
      </c>
      <c r="C6" s="242"/>
      <c r="D6" s="242"/>
      <c r="E6" s="242"/>
      <c r="F6" s="242"/>
      <c r="G6" s="242"/>
      <c r="H6" s="242"/>
      <c r="I6" s="242"/>
      <c r="J6" s="242"/>
      <c r="K6" s="242"/>
      <c r="L6" s="242"/>
      <c r="M6" s="242"/>
      <c r="N6" s="242"/>
      <c r="O6" s="242"/>
      <c r="P6" s="242"/>
      <c r="Q6" s="242"/>
      <c r="R6" s="242"/>
      <c r="S6" s="60"/>
      <c r="T6" s="60"/>
      <c r="U6" s="60"/>
      <c r="V6" s="60"/>
      <c r="W6" s="60"/>
      <c r="X6" s="60"/>
      <c r="Y6" s="60"/>
    </row>
    <row r="7" spans="2:25" ht="12.75" customHeight="1">
      <c r="B7" s="60"/>
      <c r="C7" s="60"/>
      <c r="D7" s="60"/>
      <c r="E7" s="60"/>
      <c r="F7" s="60"/>
      <c r="G7" s="60"/>
      <c r="H7" s="60"/>
      <c r="I7" s="60"/>
      <c r="J7" s="60"/>
      <c r="K7" s="60"/>
      <c r="L7" s="60"/>
      <c r="M7" s="60"/>
      <c r="N7" s="60"/>
      <c r="O7" s="60"/>
      <c r="P7" s="60"/>
      <c r="Q7" s="60"/>
      <c r="R7" s="60"/>
      <c r="S7" s="60"/>
      <c r="T7" s="60"/>
      <c r="U7" s="60"/>
      <c r="V7" s="60"/>
      <c r="W7" s="60"/>
      <c r="X7" s="60"/>
      <c r="Y7" s="60"/>
    </row>
    <row r="8" spans="2:25" ht="44.25" customHeight="1">
      <c r="B8" s="155" t="s">
        <v>610</v>
      </c>
      <c r="C8" s="156" t="s">
        <v>910</v>
      </c>
      <c r="D8" s="157" t="s">
        <v>911</v>
      </c>
      <c r="E8" s="157" t="s">
        <v>476</v>
      </c>
      <c r="F8" s="157" t="s">
        <v>136</v>
      </c>
      <c r="G8" s="156" t="s">
        <v>912</v>
      </c>
      <c r="H8" s="157" t="s">
        <v>913</v>
      </c>
      <c r="I8" s="156" t="s">
        <v>914</v>
      </c>
      <c r="J8" s="156" t="s">
        <v>915</v>
      </c>
      <c r="K8" s="156" t="s">
        <v>916</v>
      </c>
      <c r="L8" s="156" t="s">
        <v>934</v>
      </c>
      <c r="M8" s="156" t="s">
        <v>917</v>
      </c>
      <c r="N8" s="156" t="s">
        <v>905</v>
      </c>
      <c r="O8" s="156" t="s">
        <v>906</v>
      </c>
      <c r="P8" s="156" t="s">
        <v>918</v>
      </c>
      <c r="Q8" s="156" t="s">
        <v>919</v>
      </c>
      <c r="R8" s="157" t="s">
        <v>907</v>
      </c>
      <c r="S8" s="60"/>
      <c r="T8" s="60"/>
      <c r="U8" s="60"/>
      <c r="V8" s="60"/>
      <c r="W8" s="60"/>
      <c r="X8" s="60"/>
      <c r="Y8" s="60"/>
    </row>
    <row r="9" spans="2:25" ht="24.75" customHeight="1">
      <c r="B9" s="62">
        <v>1</v>
      </c>
      <c r="C9" s="62">
        <v>2</v>
      </c>
      <c r="D9" s="62">
        <v>3</v>
      </c>
      <c r="E9" s="62">
        <v>4</v>
      </c>
      <c r="F9" s="62">
        <v>5</v>
      </c>
      <c r="G9" s="62">
        <v>6</v>
      </c>
      <c r="H9" s="62">
        <v>7</v>
      </c>
      <c r="I9" s="62">
        <v>8</v>
      </c>
      <c r="J9" s="62">
        <v>9</v>
      </c>
      <c r="K9" s="62">
        <v>10</v>
      </c>
      <c r="L9" s="62">
        <v>11</v>
      </c>
      <c r="M9" s="62">
        <v>14</v>
      </c>
      <c r="N9" s="62">
        <v>15</v>
      </c>
      <c r="O9" s="62">
        <v>16</v>
      </c>
      <c r="P9" s="62">
        <v>17</v>
      </c>
      <c r="Q9" s="62"/>
      <c r="R9" s="62">
        <v>18</v>
      </c>
      <c r="S9" s="60"/>
      <c r="T9" s="60"/>
      <c r="U9" s="60"/>
      <c r="V9" s="60"/>
      <c r="W9" s="60"/>
      <c r="X9" s="60"/>
      <c r="Y9" s="60"/>
    </row>
    <row r="10" spans="2:25" ht="24.75" customHeight="1">
      <c r="B10" s="85" t="s">
        <v>920</v>
      </c>
      <c r="C10" s="85"/>
      <c r="D10" s="86" t="s">
        <v>921</v>
      </c>
      <c r="E10" s="85"/>
      <c r="F10" s="85"/>
      <c r="G10" s="85"/>
      <c r="H10" s="87"/>
      <c r="I10" s="87"/>
      <c r="J10" s="87"/>
      <c r="K10" s="87"/>
      <c r="L10" s="87"/>
      <c r="M10" s="87"/>
      <c r="N10" s="87"/>
      <c r="O10" s="85"/>
      <c r="P10" s="84"/>
      <c r="Q10" s="84"/>
      <c r="R10" s="84"/>
      <c r="S10" s="60"/>
      <c r="T10" s="60"/>
      <c r="U10" s="60"/>
      <c r="V10" s="60"/>
      <c r="W10" s="60"/>
      <c r="X10" s="60"/>
      <c r="Y10" s="60"/>
    </row>
    <row r="11" spans="2:25" ht="34.5" customHeight="1">
      <c r="B11" s="63" t="s">
        <v>302</v>
      </c>
      <c r="C11" s="64" t="s">
        <v>923</v>
      </c>
      <c r="D11" s="166" t="s">
        <v>938</v>
      </c>
      <c r="E11" s="64" t="s">
        <v>989</v>
      </c>
      <c r="F11" s="64">
        <v>1</v>
      </c>
      <c r="G11" s="65">
        <v>43110</v>
      </c>
      <c r="H11" s="66">
        <v>12000000</v>
      </c>
      <c r="I11" s="64">
        <v>36</v>
      </c>
      <c r="J11" s="206">
        <f>H11/I11</f>
        <v>333333.3333333333</v>
      </c>
      <c r="K11" s="66">
        <v>8000000</v>
      </c>
      <c r="L11" s="206">
        <f>J11</f>
        <v>333333.3333333333</v>
      </c>
      <c r="M11" s="206">
        <f>K11+L11</f>
        <v>8333333.333333333</v>
      </c>
      <c r="N11" s="206">
        <f>H11-M11</f>
        <v>3666666.666666667</v>
      </c>
      <c r="O11" s="147" t="s">
        <v>935</v>
      </c>
      <c r="P11" s="138" t="s">
        <v>86</v>
      </c>
      <c r="Q11" s="138" t="s">
        <v>883</v>
      </c>
      <c r="R11" s="67"/>
      <c r="S11" s="60"/>
      <c r="T11" s="60"/>
      <c r="U11" s="60"/>
      <c r="V11" s="60"/>
      <c r="W11" s="60"/>
      <c r="X11" s="60"/>
      <c r="Y11" s="60"/>
    </row>
    <row r="12" spans="2:25" ht="34.5" customHeight="1">
      <c r="B12" s="63" t="s">
        <v>303</v>
      </c>
      <c r="C12" s="64" t="s">
        <v>924</v>
      </c>
      <c r="D12" s="166" t="s">
        <v>939</v>
      </c>
      <c r="E12" s="64" t="s">
        <v>989</v>
      </c>
      <c r="F12" s="64">
        <v>1</v>
      </c>
      <c r="G12" s="65">
        <v>43110</v>
      </c>
      <c r="H12" s="66">
        <v>15000000</v>
      </c>
      <c r="I12" s="64">
        <v>36</v>
      </c>
      <c r="J12" s="206">
        <f>H12/I12</f>
        <v>416666.6666666667</v>
      </c>
      <c r="K12" s="66">
        <v>10000000</v>
      </c>
      <c r="L12" s="206">
        <f>J12</f>
        <v>416666.6666666667</v>
      </c>
      <c r="M12" s="206">
        <f>K12+L12</f>
        <v>10416666.666666666</v>
      </c>
      <c r="N12" s="206">
        <f>H12-M12</f>
        <v>4583333.333333334</v>
      </c>
      <c r="O12" s="148" t="s">
        <v>612</v>
      </c>
      <c r="P12" s="138" t="s">
        <v>86</v>
      </c>
      <c r="Q12" s="138" t="s">
        <v>883</v>
      </c>
      <c r="R12" s="67"/>
      <c r="S12" s="60"/>
      <c r="T12" s="60"/>
      <c r="U12" s="60"/>
      <c r="V12" s="60"/>
      <c r="W12" s="60"/>
      <c r="X12" s="60"/>
      <c r="Y12" s="60"/>
    </row>
    <row r="13" spans="2:25" ht="34.5" customHeight="1">
      <c r="B13" s="63" t="s">
        <v>304</v>
      </c>
      <c r="C13" s="64" t="s">
        <v>925</v>
      </c>
      <c r="D13" s="166" t="s">
        <v>940</v>
      </c>
      <c r="E13" s="64" t="s">
        <v>609</v>
      </c>
      <c r="F13" s="64">
        <v>2</v>
      </c>
      <c r="G13" s="65">
        <v>43110</v>
      </c>
      <c r="H13" s="66">
        <v>30000000</v>
      </c>
      <c r="I13" s="64">
        <v>36</v>
      </c>
      <c r="J13" s="206">
        <f>H13/I13</f>
        <v>833333.3333333334</v>
      </c>
      <c r="K13" s="66">
        <v>20000000</v>
      </c>
      <c r="L13" s="206">
        <f>J13</f>
        <v>833333.3333333334</v>
      </c>
      <c r="M13" s="206">
        <f>K13+L13</f>
        <v>20833333.333333332</v>
      </c>
      <c r="N13" s="206">
        <f>H13-M13</f>
        <v>9166666.666666668</v>
      </c>
      <c r="O13" s="148" t="s">
        <v>902</v>
      </c>
      <c r="P13" s="138" t="s">
        <v>42</v>
      </c>
      <c r="Q13" s="138" t="s">
        <v>883</v>
      </c>
      <c r="R13" s="67"/>
      <c r="S13" s="60"/>
      <c r="T13" s="60"/>
      <c r="U13" s="60"/>
      <c r="V13" s="60"/>
      <c r="W13" s="60"/>
      <c r="X13" s="60"/>
      <c r="Y13" s="60"/>
    </row>
    <row r="14" spans="2:25" ht="34.5" customHeight="1">
      <c r="B14" s="63" t="s">
        <v>305</v>
      </c>
      <c r="C14" s="64" t="s">
        <v>926</v>
      </c>
      <c r="D14" s="166" t="s">
        <v>941</v>
      </c>
      <c r="E14" s="64" t="s">
        <v>609</v>
      </c>
      <c r="F14" s="64">
        <v>2</v>
      </c>
      <c r="G14" s="65">
        <v>43475</v>
      </c>
      <c r="H14" s="66">
        <v>30000000</v>
      </c>
      <c r="I14" s="64">
        <v>36</v>
      </c>
      <c r="J14" s="206">
        <f>H14/I14</f>
        <v>833333.3333333334</v>
      </c>
      <c r="K14" s="66">
        <v>10000000</v>
      </c>
      <c r="L14" s="206">
        <f>J14</f>
        <v>833333.3333333334</v>
      </c>
      <c r="M14" s="206">
        <f>K14+L14</f>
        <v>10833333.333333334</v>
      </c>
      <c r="N14" s="206">
        <f>H14-M14</f>
        <v>19166666.666666664</v>
      </c>
      <c r="O14" s="148" t="s">
        <v>903</v>
      </c>
      <c r="P14" s="138" t="s">
        <v>44</v>
      </c>
      <c r="Q14" s="138" t="s">
        <v>883</v>
      </c>
      <c r="R14" s="67"/>
      <c r="S14" s="60"/>
      <c r="T14" s="60"/>
      <c r="U14" s="60"/>
      <c r="V14" s="60"/>
      <c r="W14" s="60"/>
      <c r="X14" s="60"/>
      <c r="Y14" s="60"/>
    </row>
    <row r="15" spans="2:25" ht="34.5" customHeight="1">
      <c r="B15" s="63" t="s">
        <v>306</v>
      </c>
      <c r="C15" s="64" t="s">
        <v>927</v>
      </c>
      <c r="D15" s="166" t="s">
        <v>942</v>
      </c>
      <c r="E15" s="64" t="s">
        <v>609</v>
      </c>
      <c r="F15" s="64">
        <v>4</v>
      </c>
      <c r="G15" s="65">
        <v>43476</v>
      </c>
      <c r="H15" s="66">
        <v>40000000</v>
      </c>
      <c r="I15" s="64">
        <v>24</v>
      </c>
      <c r="J15" s="206">
        <f>H15/I15</f>
        <v>1666666.6666666667</v>
      </c>
      <c r="K15" s="66">
        <v>20000000</v>
      </c>
      <c r="L15" s="206">
        <f>J15</f>
        <v>1666666.6666666667</v>
      </c>
      <c r="M15" s="206">
        <f>K15+L15</f>
        <v>21666666.666666668</v>
      </c>
      <c r="N15" s="206">
        <f>H15-M15</f>
        <v>18333333.333333332</v>
      </c>
      <c r="O15" s="148" t="s">
        <v>902</v>
      </c>
      <c r="P15" s="138" t="s">
        <v>42</v>
      </c>
      <c r="Q15" s="138" t="s">
        <v>883</v>
      </c>
      <c r="R15" s="67"/>
      <c r="S15" s="60"/>
      <c r="T15" s="60"/>
      <c r="U15" s="60"/>
      <c r="V15" s="60"/>
      <c r="W15" s="60"/>
      <c r="X15" s="60"/>
      <c r="Y15" s="60"/>
    </row>
    <row r="16" spans="2:25" ht="34.5" customHeight="1">
      <c r="B16" s="68"/>
      <c r="C16" s="68"/>
      <c r="D16" s="69" t="s">
        <v>928</v>
      </c>
      <c r="E16" s="68"/>
      <c r="F16" s="68"/>
      <c r="G16" s="70"/>
      <c r="H16" s="71">
        <f aca="true" t="shared" si="0" ref="H16:N16">SUBTOTAL(9,H11:H15)</f>
        <v>127000000</v>
      </c>
      <c r="I16" s="71">
        <f t="shared" si="0"/>
        <v>168</v>
      </c>
      <c r="J16" s="71">
        <f t="shared" si="0"/>
        <v>4083333.333333334</v>
      </c>
      <c r="K16" s="71">
        <f t="shared" si="0"/>
        <v>68000000</v>
      </c>
      <c r="L16" s="71">
        <f t="shared" si="0"/>
        <v>4083333.333333334</v>
      </c>
      <c r="M16" s="71">
        <f t="shared" si="0"/>
        <v>72083333.33333333</v>
      </c>
      <c r="N16" s="71">
        <f t="shared" si="0"/>
        <v>54916666.66666666</v>
      </c>
      <c r="O16" s="149"/>
      <c r="P16" s="72"/>
      <c r="Q16" s="72"/>
      <c r="R16" s="73"/>
      <c r="S16" s="60"/>
      <c r="T16" s="60"/>
      <c r="U16" s="60"/>
      <c r="V16" s="60"/>
      <c r="W16" s="60"/>
      <c r="X16" s="60"/>
      <c r="Y16" s="60"/>
    </row>
    <row r="17" spans="2:18" s="61" customFormat="1" ht="34.5" customHeight="1">
      <c r="B17" s="88" t="s">
        <v>922</v>
      </c>
      <c r="C17" s="88"/>
      <c r="D17" s="89" t="s">
        <v>929</v>
      </c>
      <c r="E17" s="88"/>
      <c r="F17" s="88"/>
      <c r="G17" s="88"/>
      <c r="H17" s="90"/>
      <c r="I17" s="90"/>
      <c r="J17" s="90"/>
      <c r="K17" s="90"/>
      <c r="L17" s="90"/>
      <c r="M17" s="90"/>
      <c r="N17" s="90"/>
      <c r="O17" s="150"/>
      <c r="P17" s="90"/>
      <c r="Q17" s="88"/>
      <c r="R17" s="88"/>
    </row>
    <row r="18" spans="2:18" s="75" customFormat="1" ht="34.5" customHeight="1">
      <c r="B18" s="91">
        <v>1</v>
      </c>
      <c r="C18" s="91" t="s">
        <v>930</v>
      </c>
      <c r="D18" s="64" t="s">
        <v>931</v>
      </c>
      <c r="E18" s="64" t="s">
        <v>988</v>
      </c>
      <c r="F18" s="64">
        <v>6</v>
      </c>
      <c r="G18" s="92">
        <v>43837</v>
      </c>
      <c r="H18" s="93">
        <v>18000000</v>
      </c>
      <c r="I18" s="93">
        <v>6</v>
      </c>
      <c r="J18" s="206">
        <f>H18/I18</f>
        <v>3000000</v>
      </c>
      <c r="K18" s="93">
        <v>9000000</v>
      </c>
      <c r="L18" s="206">
        <f>J18</f>
        <v>3000000</v>
      </c>
      <c r="M18" s="206">
        <f>K18+L18</f>
        <v>12000000</v>
      </c>
      <c r="N18" s="206">
        <f>H18-M18</f>
        <v>6000000</v>
      </c>
      <c r="O18" s="151" t="s">
        <v>936</v>
      </c>
      <c r="P18" s="138" t="s">
        <v>94</v>
      </c>
      <c r="Q18" s="138" t="s">
        <v>1225</v>
      </c>
      <c r="R18" s="74"/>
    </row>
    <row r="19" spans="2:18" s="75" customFormat="1" ht="34.5" customHeight="1">
      <c r="B19" s="91">
        <v>2</v>
      </c>
      <c r="C19" s="91" t="s">
        <v>932</v>
      </c>
      <c r="D19" s="151" t="s">
        <v>933</v>
      </c>
      <c r="E19" s="64" t="s">
        <v>988</v>
      </c>
      <c r="F19" s="64">
        <v>6</v>
      </c>
      <c r="G19" s="92">
        <v>44114</v>
      </c>
      <c r="H19" s="93">
        <v>120000000</v>
      </c>
      <c r="I19" s="93">
        <v>6</v>
      </c>
      <c r="J19" s="206">
        <f>H19/I19</f>
        <v>20000000</v>
      </c>
      <c r="K19" s="93"/>
      <c r="L19" s="206">
        <f>J19</f>
        <v>20000000</v>
      </c>
      <c r="M19" s="206">
        <f>K19+L19</f>
        <v>20000000</v>
      </c>
      <c r="N19" s="206">
        <f>H19-M19</f>
        <v>100000000</v>
      </c>
      <c r="O19" s="151" t="s">
        <v>937</v>
      </c>
      <c r="P19" s="138" t="s">
        <v>78</v>
      </c>
      <c r="Q19" s="138" t="s">
        <v>1225</v>
      </c>
      <c r="R19" s="74"/>
    </row>
    <row r="20" spans="2:18" s="75" customFormat="1" ht="34.5" customHeight="1">
      <c r="B20" s="74"/>
      <c r="C20" s="74"/>
      <c r="D20" s="69" t="s">
        <v>928</v>
      </c>
      <c r="E20" s="68"/>
      <c r="F20" s="68"/>
      <c r="G20" s="70"/>
      <c r="H20" s="71">
        <f aca="true" t="shared" si="1" ref="H20:N20">SUBTOTAL(9,H15:H19)</f>
        <v>178000000</v>
      </c>
      <c r="I20" s="71">
        <f t="shared" si="1"/>
        <v>36</v>
      </c>
      <c r="J20" s="71">
        <f t="shared" si="1"/>
        <v>24666666.666666668</v>
      </c>
      <c r="K20" s="71">
        <f t="shared" si="1"/>
        <v>29000000</v>
      </c>
      <c r="L20" s="71">
        <f t="shared" si="1"/>
        <v>24666666.666666668</v>
      </c>
      <c r="M20" s="71">
        <f t="shared" si="1"/>
        <v>53666666.66666667</v>
      </c>
      <c r="N20" s="71">
        <f t="shared" si="1"/>
        <v>124333333.33333333</v>
      </c>
      <c r="O20" s="152"/>
      <c r="P20" s="74"/>
      <c r="Q20" s="74"/>
      <c r="R20" s="74"/>
    </row>
    <row r="21" spans="2:25" ht="13.5" customHeight="1">
      <c r="B21" s="60"/>
      <c r="C21" s="60"/>
      <c r="D21" s="60"/>
      <c r="E21" s="60"/>
      <c r="F21" s="60"/>
      <c r="G21" s="60"/>
      <c r="H21" s="60"/>
      <c r="I21" s="60"/>
      <c r="J21" s="60"/>
      <c r="K21" s="60"/>
      <c r="L21" s="60"/>
      <c r="M21" s="60"/>
      <c r="N21" s="60"/>
      <c r="O21" s="60"/>
      <c r="P21" s="60"/>
      <c r="Q21" s="60"/>
      <c r="R21" s="60"/>
      <c r="S21" s="60"/>
      <c r="T21" s="60"/>
      <c r="U21" s="60"/>
      <c r="V21" s="60"/>
      <c r="W21" s="60"/>
      <c r="X21" s="60"/>
      <c r="Y21" s="60"/>
    </row>
    <row r="22" spans="2:25" ht="13.5" customHeight="1">
      <c r="B22" s="60"/>
      <c r="C22" s="60"/>
      <c r="D22" s="60"/>
      <c r="E22" s="60"/>
      <c r="F22" s="60"/>
      <c r="G22" s="60"/>
      <c r="H22" s="60"/>
      <c r="I22" s="60"/>
      <c r="J22" s="60"/>
      <c r="K22" s="60"/>
      <c r="L22" s="60"/>
      <c r="M22" s="237" t="s">
        <v>471</v>
      </c>
      <c r="N22" s="238"/>
      <c r="O22" s="238"/>
      <c r="P22" s="238"/>
      <c r="Q22" s="238"/>
      <c r="R22" s="238"/>
      <c r="S22" s="60"/>
      <c r="T22" s="60"/>
      <c r="U22" s="60"/>
      <c r="V22" s="60"/>
      <c r="W22" s="60"/>
      <c r="X22" s="60"/>
      <c r="Y22" s="60"/>
    </row>
    <row r="23" spans="2:25" ht="13.5" customHeight="1">
      <c r="B23" s="60"/>
      <c r="C23" s="57" t="s">
        <v>463</v>
      </c>
      <c r="D23" s="57"/>
      <c r="E23" s="57"/>
      <c r="F23" s="60"/>
      <c r="G23" s="60"/>
      <c r="H23" s="76"/>
      <c r="I23" s="77" t="s">
        <v>464</v>
      </c>
      <c r="J23" s="76"/>
      <c r="K23" s="60"/>
      <c r="L23" s="60"/>
      <c r="M23" s="237" t="s">
        <v>465</v>
      </c>
      <c r="N23" s="238"/>
      <c r="O23" s="238"/>
      <c r="P23" s="238"/>
      <c r="Q23" s="238"/>
      <c r="R23" s="238"/>
      <c r="S23" s="60"/>
      <c r="T23" s="60"/>
      <c r="U23" s="60"/>
      <c r="V23" s="60"/>
      <c r="W23" s="60"/>
      <c r="X23" s="60"/>
      <c r="Y23" s="60"/>
    </row>
    <row r="24" spans="2:25" ht="13.5" customHeight="1">
      <c r="B24" s="60"/>
      <c r="C24" s="57" t="s">
        <v>466</v>
      </c>
      <c r="D24" s="57"/>
      <c r="E24" s="57"/>
      <c r="F24" s="60"/>
      <c r="G24" s="60"/>
      <c r="H24" s="76"/>
      <c r="I24" s="77" t="s">
        <v>466</v>
      </c>
      <c r="J24" s="76"/>
      <c r="K24" s="60"/>
      <c r="L24" s="60"/>
      <c r="M24" s="237" t="s">
        <v>467</v>
      </c>
      <c r="N24" s="238"/>
      <c r="O24" s="238"/>
      <c r="P24" s="238"/>
      <c r="Q24" s="238"/>
      <c r="R24" s="238"/>
      <c r="S24" s="60"/>
      <c r="T24" s="60"/>
      <c r="U24" s="60"/>
      <c r="V24" s="60"/>
      <c r="W24" s="60"/>
      <c r="X24" s="60"/>
      <c r="Y24" s="60"/>
    </row>
    <row r="25" spans="2:25" ht="13.5" customHeight="1">
      <c r="B25" s="60"/>
      <c r="C25" s="57"/>
      <c r="D25" s="57"/>
      <c r="E25" s="57"/>
      <c r="F25" s="78"/>
      <c r="G25" s="60"/>
      <c r="H25" s="60"/>
      <c r="I25" s="60"/>
      <c r="J25" s="60"/>
      <c r="K25" s="60"/>
      <c r="L25" s="60"/>
      <c r="M25" s="57"/>
      <c r="N25" s="57"/>
      <c r="O25" s="57"/>
      <c r="P25" s="57"/>
      <c r="Q25" s="57"/>
      <c r="R25" s="57"/>
      <c r="S25" s="60"/>
      <c r="T25" s="60"/>
      <c r="U25" s="60"/>
      <c r="V25" s="60"/>
      <c r="W25" s="60"/>
      <c r="X25" s="60"/>
      <c r="Y25" s="60"/>
    </row>
    <row r="26" spans="2:25" ht="12.75" customHeight="1">
      <c r="B26" s="60"/>
      <c r="C26" s="60"/>
      <c r="D26" s="60"/>
      <c r="E26" s="60"/>
      <c r="F26" s="60"/>
      <c r="G26" s="60"/>
      <c r="H26" s="60"/>
      <c r="I26" s="60"/>
      <c r="J26" s="60"/>
      <c r="K26" s="60"/>
      <c r="L26" s="60"/>
      <c r="M26" s="60"/>
      <c r="N26" s="60"/>
      <c r="O26" s="60"/>
      <c r="P26" s="60"/>
      <c r="Q26" s="60"/>
      <c r="R26" s="60"/>
      <c r="S26" s="60"/>
      <c r="T26" s="60"/>
      <c r="U26" s="60"/>
      <c r="V26" s="60"/>
      <c r="W26" s="60"/>
      <c r="X26" s="60"/>
      <c r="Y26" s="60"/>
    </row>
    <row r="27" spans="2:25" ht="12.75" customHeight="1">
      <c r="B27" s="60"/>
      <c r="C27" s="60"/>
      <c r="D27" s="60"/>
      <c r="E27" s="60"/>
      <c r="F27" s="60"/>
      <c r="G27" s="60"/>
      <c r="H27" s="60"/>
      <c r="I27" s="60"/>
      <c r="J27" s="60"/>
      <c r="K27" s="60"/>
      <c r="L27" s="60"/>
      <c r="M27" s="60"/>
      <c r="N27" s="60"/>
      <c r="O27" s="60"/>
      <c r="P27" s="60"/>
      <c r="Q27" s="60"/>
      <c r="R27" s="60"/>
      <c r="S27" s="60"/>
      <c r="T27" s="60"/>
      <c r="U27" s="60"/>
      <c r="V27" s="60"/>
      <c r="W27" s="60"/>
      <c r="X27" s="60"/>
      <c r="Y27" s="60"/>
    </row>
    <row r="28" spans="2:25" ht="12.75" customHeight="1">
      <c r="B28" s="60"/>
      <c r="C28" s="60"/>
      <c r="D28" s="60"/>
      <c r="E28" s="60"/>
      <c r="F28" s="60"/>
      <c r="G28" s="60"/>
      <c r="H28" s="60"/>
      <c r="I28" s="60"/>
      <c r="J28" s="60"/>
      <c r="K28" s="60"/>
      <c r="L28" s="60"/>
      <c r="M28" s="60"/>
      <c r="N28" s="60"/>
      <c r="O28" s="60"/>
      <c r="P28" s="60"/>
      <c r="Q28" s="60"/>
      <c r="R28" s="60"/>
      <c r="S28" s="60"/>
      <c r="T28" s="60"/>
      <c r="U28" s="60"/>
      <c r="V28" s="60"/>
      <c r="W28" s="60"/>
      <c r="X28" s="60"/>
      <c r="Y28" s="60"/>
    </row>
    <row r="29" spans="2:25" ht="12.7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row>
    <row r="30" spans="2:25" ht="12.75" customHeight="1">
      <c r="B30" s="60"/>
      <c r="C30" s="60"/>
      <c r="D30" s="60"/>
      <c r="E30" s="60"/>
      <c r="F30" s="60"/>
      <c r="G30" s="60"/>
      <c r="H30" s="60"/>
      <c r="I30" s="60"/>
      <c r="J30" s="60"/>
      <c r="K30" s="60"/>
      <c r="L30" s="60"/>
      <c r="M30" s="60"/>
      <c r="N30" s="60"/>
      <c r="O30" s="60"/>
      <c r="P30" s="60"/>
      <c r="Q30" s="60"/>
      <c r="R30" s="60"/>
      <c r="S30" s="60"/>
      <c r="T30" s="60"/>
      <c r="U30" s="60"/>
      <c r="V30" s="60"/>
      <c r="W30" s="60"/>
      <c r="X30" s="60"/>
      <c r="Y30" s="60"/>
    </row>
    <row r="31" spans="2:25" ht="12.75" customHeight="1">
      <c r="B31" s="60"/>
      <c r="C31" s="60"/>
      <c r="D31" s="60"/>
      <c r="E31" s="60"/>
      <c r="F31" s="60"/>
      <c r="G31" s="60"/>
      <c r="H31" s="60"/>
      <c r="I31" s="60"/>
      <c r="J31" s="60"/>
      <c r="K31" s="60"/>
      <c r="L31" s="60"/>
      <c r="M31" s="60"/>
      <c r="N31" s="60"/>
      <c r="O31" s="60"/>
      <c r="P31" s="60"/>
      <c r="Q31" s="60"/>
      <c r="R31" s="60"/>
      <c r="S31" s="60"/>
      <c r="T31" s="60"/>
      <c r="U31" s="60"/>
      <c r="V31" s="60"/>
      <c r="W31" s="60"/>
      <c r="X31" s="60"/>
      <c r="Y31" s="60"/>
    </row>
    <row r="32" spans="2:25" ht="12.75" customHeight="1">
      <c r="B32" s="60"/>
      <c r="C32" s="60"/>
      <c r="D32" s="60"/>
      <c r="E32" s="60"/>
      <c r="F32" s="60"/>
      <c r="G32" s="60"/>
      <c r="H32" s="79"/>
      <c r="I32" s="80" t="str">
        <f>'[1]TT DN'!B11</f>
        <v>Nguyễn Thanh Thủy</v>
      </c>
      <c r="J32" s="81"/>
      <c r="K32" s="82"/>
      <c r="L32" s="82"/>
      <c r="M32" s="82"/>
      <c r="N32" s="83"/>
      <c r="O32" s="83"/>
      <c r="P32" s="83" t="str">
        <f>'[1]TT DN'!B10</f>
        <v>Lê Quang Đức</v>
      </c>
      <c r="Q32" s="83"/>
      <c r="S32" s="60"/>
      <c r="T32" s="60"/>
      <c r="U32" s="60"/>
      <c r="V32" s="60"/>
      <c r="W32" s="60"/>
      <c r="X32" s="60"/>
      <c r="Y32" s="60"/>
    </row>
    <row r="33" spans="2:25" ht="12.75" customHeight="1">
      <c r="B33" s="60"/>
      <c r="C33" s="60"/>
      <c r="D33" s="60"/>
      <c r="E33" s="60"/>
      <c r="F33" s="60"/>
      <c r="G33" s="60"/>
      <c r="H33" s="60"/>
      <c r="I33" s="60"/>
      <c r="J33" s="60"/>
      <c r="K33" s="60"/>
      <c r="L33" s="60"/>
      <c r="M33" s="60"/>
      <c r="N33" s="60"/>
      <c r="R33" s="60"/>
      <c r="S33" s="60"/>
      <c r="T33" s="60"/>
      <c r="U33" s="60"/>
      <c r="V33" s="60"/>
      <c r="W33" s="60"/>
      <c r="X33" s="60"/>
      <c r="Y33" s="60"/>
    </row>
    <row r="34" spans="2:25" ht="12.75" customHeight="1">
      <c r="B34" s="60"/>
      <c r="C34" s="60"/>
      <c r="D34" s="60"/>
      <c r="E34" s="60"/>
      <c r="F34" s="60"/>
      <c r="G34" s="60"/>
      <c r="H34" s="60"/>
      <c r="I34" s="60"/>
      <c r="J34" s="60"/>
      <c r="K34" s="60"/>
      <c r="L34" s="60"/>
      <c r="M34" s="60"/>
      <c r="N34" s="60"/>
      <c r="O34" s="60"/>
      <c r="P34" s="60"/>
      <c r="Q34" s="60"/>
      <c r="R34" s="60"/>
      <c r="S34" s="60"/>
      <c r="T34" s="60"/>
      <c r="U34" s="60"/>
      <c r="V34" s="60"/>
      <c r="W34" s="60"/>
      <c r="X34" s="60"/>
      <c r="Y34" s="60"/>
    </row>
    <row r="35" spans="2:25" ht="12.75" customHeight="1">
      <c r="B35" s="60"/>
      <c r="C35" s="60"/>
      <c r="D35" s="60"/>
      <c r="E35" s="60"/>
      <c r="F35" s="60"/>
      <c r="G35" s="60"/>
      <c r="H35" s="60"/>
      <c r="I35" s="60"/>
      <c r="J35" s="60"/>
      <c r="K35" s="60"/>
      <c r="L35" s="60"/>
      <c r="M35" s="60"/>
      <c r="N35" s="60"/>
      <c r="O35" s="60"/>
      <c r="P35" s="60"/>
      <c r="Q35" s="60"/>
      <c r="R35" s="60"/>
      <c r="S35" s="60"/>
      <c r="T35" s="60"/>
      <c r="U35" s="60"/>
      <c r="V35" s="60"/>
      <c r="W35" s="60"/>
      <c r="X35" s="60"/>
      <c r="Y35" s="60"/>
    </row>
    <row r="36" spans="2:25" ht="12.75" customHeight="1">
      <c r="B36" s="60"/>
      <c r="C36" s="60"/>
      <c r="D36" s="60"/>
      <c r="E36" s="60"/>
      <c r="F36" s="60"/>
      <c r="G36" s="60"/>
      <c r="H36" s="60"/>
      <c r="I36" s="60"/>
      <c r="J36" s="60"/>
      <c r="K36" s="60"/>
      <c r="L36" s="60"/>
      <c r="M36" s="60"/>
      <c r="N36" s="60"/>
      <c r="O36" s="60"/>
      <c r="P36" s="60"/>
      <c r="Q36" s="60"/>
      <c r="R36" s="60"/>
      <c r="S36" s="60"/>
      <c r="T36" s="60"/>
      <c r="U36" s="60"/>
      <c r="V36" s="60"/>
      <c r="W36" s="60"/>
      <c r="X36" s="60"/>
      <c r="Y36" s="60"/>
    </row>
    <row r="37" spans="2:25" ht="12.75" customHeight="1">
      <c r="B37" s="60"/>
      <c r="C37" s="60"/>
      <c r="D37" s="60"/>
      <c r="E37" s="60"/>
      <c r="F37" s="60"/>
      <c r="G37" s="60"/>
      <c r="H37" s="60"/>
      <c r="I37" s="60"/>
      <c r="J37" s="60"/>
      <c r="K37" s="60"/>
      <c r="L37" s="60"/>
      <c r="M37" s="60"/>
      <c r="N37" s="60"/>
      <c r="O37" s="60"/>
      <c r="P37" s="60"/>
      <c r="Q37" s="60"/>
      <c r="R37" s="60"/>
      <c r="S37" s="60"/>
      <c r="T37" s="60"/>
      <c r="U37" s="60"/>
      <c r="V37" s="60"/>
      <c r="W37" s="60"/>
      <c r="X37" s="60"/>
      <c r="Y37" s="60"/>
    </row>
    <row r="38" spans="2:25" ht="12.75" customHeight="1">
      <c r="B38" s="60"/>
      <c r="C38" s="60"/>
      <c r="D38" s="60"/>
      <c r="E38" s="60"/>
      <c r="F38" s="60"/>
      <c r="G38" s="60"/>
      <c r="H38" s="60"/>
      <c r="I38" s="60"/>
      <c r="J38" s="60"/>
      <c r="K38" s="60"/>
      <c r="L38" s="60"/>
      <c r="M38" s="60"/>
      <c r="N38" s="60"/>
      <c r="O38" s="60"/>
      <c r="P38" s="60"/>
      <c r="Q38" s="60"/>
      <c r="R38" s="60"/>
      <c r="S38" s="60"/>
      <c r="T38" s="60"/>
      <c r="U38" s="60"/>
      <c r="V38" s="60"/>
      <c r="W38" s="60"/>
      <c r="X38" s="60"/>
      <c r="Y38" s="60"/>
    </row>
    <row r="39" spans="2:25" ht="12.75" customHeight="1">
      <c r="B39" s="60"/>
      <c r="C39" s="60"/>
      <c r="D39" s="60"/>
      <c r="E39" s="60"/>
      <c r="F39" s="60"/>
      <c r="G39" s="60"/>
      <c r="H39" s="60"/>
      <c r="I39" s="60"/>
      <c r="J39" s="60"/>
      <c r="K39" s="60"/>
      <c r="L39" s="60"/>
      <c r="M39" s="60"/>
      <c r="N39" s="60"/>
      <c r="O39" s="60"/>
      <c r="P39" s="60"/>
      <c r="Q39" s="60"/>
      <c r="R39" s="60"/>
      <c r="S39" s="60"/>
      <c r="T39" s="60"/>
      <c r="U39" s="60"/>
      <c r="V39" s="60"/>
      <c r="W39" s="60"/>
      <c r="X39" s="60"/>
      <c r="Y39" s="60"/>
    </row>
    <row r="40" spans="2:25" ht="12.7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row>
    <row r="41" spans="2:25" ht="12.75" customHeight="1">
      <c r="B41" s="60"/>
      <c r="C41" s="60"/>
      <c r="D41" s="60"/>
      <c r="E41" s="60"/>
      <c r="F41" s="60"/>
      <c r="G41" s="60"/>
      <c r="H41" s="60"/>
      <c r="I41" s="60"/>
      <c r="J41" s="60"/>
      <c r="K41" s="60"/>
      <c r="L41" s="60"/>
      <c r="M41" s="60"/>
      <c r="N41" s="60"/>
      <c r="O41" s="60"/>
      <c r="P41" s="60"/>
      <c r="Q41" s="60"/>
      <c r="R41" s="60"/>
      <c r="S41" s="60"/>
      <c r="T41" s="60"/>
      <c r="U41" s="60"/>
      <c r="V41" s="60"/>
      <c r="W41" s="60"/>
      <c r="X41" s="60"/>
      <c r="Y41" s="60"/>
    </row>
    <row r="42" spans="2:25" ht="12.75" customHeight="1">
      <c r="B42" s="60"/>
      <c r="C42" s="60"/>
      <c r="D42" s="60"/>
      <c r="E42" s="60"/>
      <c r="F42" s="60"/>
      <c r="G42" s="60"/>
      <c r="H42" s="60"/>
      <c r="I42" s="60"/>
      <c r="J42" s="60"/>
      <c r="K42" s="60"/>
      <c r="L42" s="60"/>
      <c r="M42" s="60"/>
      <c r="N42" s="60"/>
      <c r="O42" s="60"/>
      <c r="P42" s="60"/>
      <c r="Q42" s="60"/>
      <c r="R42" s="60"/>
      <c r="S42" s="60"/>
      <c r="T42" s="60"/>
      <c r="U42" s="60"/>
      <c r="V42" s="60"/>
      <c r="W42" s="60"/>
      <c r="X42" s="60"/>
      <c r="Y42" s="60"/>
    </row>
    <row r="43" spans="2:25" ht="12.75" customHeight="1">
      <c r="B43" s="60"/>
      <c r="C43" s="60"/>
      <c r="D43" s="60"/>
      <c r="E43" s="60"/>
      <c r="F43" s="60"/>
      <c r="G43" s="60"/>
      <c r="H43" s="60"/>
      <c r="I43" s="60"/>
      <c r="J43" s="60"/>
      <c r="K43" s="60"/>
      <c r="L43" s="60"/>
      <c r="M43" s="60"/>
      <c r="N43" s="60"/>
      <c r="O43" s="60"/>
      <c r="P43" s="60"/>
      <c r="Q43" s="60"/>
      <c r="R43" s="60"/>
      <c r="S43" s="60"/>
      <c r="T43" s="60"/>
      <c r="U43" s="60"/>
      <c r="V43" s="60"/>
      <c r="W43" s="60"/>
      <c r="X43" s="60"/>
      <c r="Y43" s="60"/>
    </row>
    <row r="44" spans="2:25" ht="12.75" customHeight="1">
      <c r="B44" s="60"/>
      <c r="C44" s="60"/>
      <c r="D44" s="60"/>
      <c r="E44" s="60"/>
      <c r="F44" s="60"/>
      <c r="G44" s="60"/>
      <c r="H44" s="60"/>
      <c r="I44" s="60"/>
      <c r="J44" s="60"/>
      <c r="K44" s="60"/>
      <c r="L44" s="60"/>
      <c r="M44" s="60"/>
      <c r="N44" s="60"/>
      <c r="O44" s="60"/>
      <c r="P44" s="60"/>
      <c r="Q44" s="60"/>
      <c r="R44" s="60"/>
      <c r="S44" s="60"/>
      <c r="T44" s="60"/>
      <c r="U44" s="60"/>
      <c r="V44" s="60"/>
      <c r="W44" s="60"/>
      <c r="X44" s="60"/>
      <c r="Y44" s="60"/>
    </row>
    <row r="45" spans="2:25" ht="12.75" customHeight="1">
      <c r="B45" s="60"/>
      <c r="C45" s="60"/>
      <c r="D45" s="60"/>
      <c r="E45" s="60"/>
      <c r="F45" s="60"/>
      <c r="G45" s="60"/>
      <c r="H45" s="60"/>
      <c r="I45" s="60"/>
      <c r="J45" s="60"/>
      <c r="K45" s="60"/>
      <c r="L45" s="60"/>
      <c r="M45" s="60"/>
      <c r="N45" s="60"/>
      <c r="O45" s="60"/>
      <c r="P45" s="60"/>
      <c r="Q45" s="60"/>
      <c r="R45" s="60"/>
      <c r="S45" s="60"/>
      <c r="T45" s="60"/>
      <c r="U45" s="60"/>
      <c r="V45" s="60"/>
      <c r="W45" s="60"/>
      <c r="X45" s="60"/>
      <c r="Y45" s="60"/>
    </row>
    <row r="46" spans="2:25" ht="12.75" customHeight="1">
      <c r="B46" s="60"/>
      <c r="C46" s="60"/>
      <c r="D46" s="60"/>
      <c r="E46" s="60"/>
      <c r="F46" s="60"/>
      <c r="G46" s="60"/>
      <c r="H46" s="60"/>
      <c r="I46" s="60"/>
      <c r="J46" s="60"/>
      <c r="K46" s="60"/>
      <c r="L46" s="60"/>
      <c r="M46" s="60"/>
      <c r="N46" s="60"/>
      <c r="O46" s="60"/>
      <c r="P46" s="60"/>
      <c r="Q46" s="60"/>
      <c r="R46" s="60"/>
      <c r="S46" s="60"/>
      <c r="T46" s="60"/>
      <c r="U46" s="60"/>
      <c r="V46" s="60"/>
      <c r="W46" s="60"/>
      <c r="X46" s="60"/>
      <c r="Y46" s="60"/>
    </row>
    <row r="47" spans="2:25" ht="12.75" customHeight="1">
      <c r="B47" s="60"/>
      <c r="C47" s="60"/>
      <c r="D47" s="60"/>
      <c r="E47" s="60"/>
      <c r="F47" s="60"/>
      <c r="G47" s="60"/>
      <c r="H47" s="60"/>
      <c r="I47" s="60"/>
      <c r="J47" s="60"/>
      <c r="K47" s="60"/>
      <c r="L47" s="60"/>
      <c r="M47" s="60"/>
      <c r="N47" s="60"/>
      <c r="O47" s="60"/>
      <c r="P47" s="60"/>
      <c r="Q47" s="60"/>
      <c r="R47" s="60"/>
      <c r="S47" s="60"/>
      <c r="T47" s="60"/>
      <c r="U47" s="60"/>
      <c r="V47" s="60"/>
      <c r="W47" s="60"/>
      <c r="X47" s="60"/>
      <c r="Y47" s="60"/>
    </row>
    <row r="48" spans="2:25" ht="12.75" customHeight="1">
      <c r="B48" s="60"/>
      <c r="C48" s="60"/>
      <c r="D48" s="60"/>
      <c r="E48" s="60"/>
      <c r="F48" s="60"/>
      <c r="G48" s="60"/>
      <c r="H48" s="60"/>
      <c r="I48" s="60"/>
      <c r="J48" s="60"/>
      <c r="K48" s="60"/>
      <c r="L48" s="60"/>
      <c r="M48" s="60"/>
      <c r="N48" s="60"/>
      <c r="O48" s="60"/>
      <c r="P48" s="60"/>
      <c r="Q48" s="60"/>
      <c r="R48" s="60"/>
      <c r="S48" s="60"/>
      <c r="T48" s="60"/>
      <c r="U48" s="60"/>
      <c r="V48" s="60"/>
      <c r="W48" s="60"/>
      <c r="X48" s="60"/>
      <c r="Y48" s="60"/>
    </row>
    <row r="49" spans="2:25" ht="12.75" customHeight="1">
      <c r="B49" s="60"/>
      <c r="C49" s="60"/>
      <c r="D49" s="60"/>
      <c r="E49" s="60"/>
      <c r="F49" s="60"/>
      <c r="G49" s="60"/>
      <c r="H49" s="60"/>
      <c r="I49" s="60"/>
      <c r="J49" s="60"/>
      <c r="K49" s="60"/>
      <c r="L49" s="60"/>
      <c r="M49" s="60"/>
      <c r="N49" s="60"/>
      <c r="O49" s="60"/>
      <c r="P49" s="60"/>
      <c r="Q49" s="60"/>
      <c r="R49" s="60"/>
      <c r="S49" s="60"/>
      <c r="T49" s="60"/>
      <c r="U49" s="60"/>
      <c r="V49" s="60"/>
      <c r="W49" s="60"/>
      <c r="X49" s="60"/>
      <c r="Y49" s="60"/>
    </row>
    <row r="50" spans="2:25" ht="12.75" customHeight="1">
      <c r="B50" s="60"/>
      <c r="C50" s="60"/>
      <c r="D50" s="60"/>
      <c r="E50" s="60"/>
      <c r="F50" s="60"/>
      <c r="G50" s="60"/>
      <c r="H50" s="60"/>
      <c r="I50" s="60"/>
      <c r="J50" s="60"/>
      <c r="K50" s="60"/>
      <c r="L50" s="60"/>
      <c r="M50" s="60"/>
      <c r="N50" s="60"/>
      <c r="O50" s="60"/>
      <c r="P50" s="60"/>
      <c r="Q50" s="60"/>
      <c r="R50" s="60"/>
      <c r="S50" s="60"/>
      <c r="T50" s="60"/>
      <c r="U50" s="60"/>
      <c r="V50" s="60"/>
      <c r="W50" s="60"/>
      <c r="X50" s="60"/>
      <c r="Y50" s="60"/>
    </row>
    <row r="51" spans="2:25" ht="12.75" customHeight="1">
      <c r="B51" s="60"/>
      <c r="C51" s="60"/>
      <c r="D51" s="60"/>
      <c r="E51" s="60"/>
      <c r="F51" s="60"/>
      <c r="G51" s="60"/>
      <c r="H51" s="60"/>
      <c r="I51" s="60"/>
      <c r="J51" s="60"/>
      <c r="K51" s="60"/>
      <c r="L51" s="60"/>
      <c r="M51" s="60"/>
      <c r="N51" s="60"/>
      <c r="O51" s="60"/>
      <c r="P51" s="60"/>
      <c r="Q51" s="60"/>
      <c r="R51" s="60"/>
      <c r="S51" s="60"/>
      <c r="T51" s="60"/>
      <c r="U51" s="60"/>
      <c r="V51" s="60"/>
      <c r="W51" s="60"/>
      <c r="X51" s="60"/>
      <c r="Y51" s="60"/>
    </row>
    <row r="52" spans="2:25" ht="12.75" customHeight="1">
      <c r="B52" s="60"/>
      <c r="C52" s="60"/>
      <c r="D52" s="60"/>
      <c r="E52" s="60"/>
      <c r="F52" s="60"/>
      <c r="G52" s="60"/>
      <c r="H52" s="60"/>
      <c r="I52" s="60"/>
      <c r="J52" s="60"/>
      <c r="K52" s="60"/>
      <c r="L52" s="60"/>
      <c r="M52" s="60"/>
      <c r="N52" s="60"/>
      <c r="O52" s="60"/>
      <c r="P52" s="60"/>
      <c r="Q52" s="60"/>
      <c r="R52" s="60"/>
      <c r="S52" s="60"/>
      <c r="T52" s="60"/>
      <c r="U52" s="60"/>
      <c r="V52" s="60"/>
      <c r="W52" s="60"/>
      <c r="X52" s="60"/>
      <c r="Y52" s="60"/>
    </row>
    <row r="53" spans="2:25" ht="12.75" customHeight="1">
      <c r="B53" s="60"/>
      <c r="C53" s="60"/>
      <c r="D53" s="60"/>
      <c r="E53" s="60"/>
      <c r="F53" s="60"/>
      <c r="G53" s="60"/>
      <c r="H53" s="60"/>
      <c r="I53" s="60"/>
      <c r="J53" s="60"/>
      <c r="K53" s="60"/>
      <c r="L53" s="60"/>
      <c r="M53" s="60"/>
      <c r="N53" s="60"/>
      <c r="O53" s="60"/>
      <c r="P53" s="60"/>
      <c r="Q53" s="60"/>
      <c r="R53" s="60"/>
      <c r="S53" s="60"/>
      <c r="T53" s="60"/>
      <c r="U53" s="60"/>
      <c r="V53" s="60"/>
      <c r="W53" s="60"/>
      <c r="X53" s="60"/>
      <c r="Y53" s="60"/>
    </row>
    <row r="54" spans="2:25" ht="12.75" customHeight="1">
      <c r="B54" s="60"/>
      <c r="C54" s="60"/>
      <c r="D54" s="60"/>
      <c r="E54" s="60"/>
      <c r="F54" s="60"/>
      <c r="G54" s="60"/>
      <c r="H54" s="60"/>
      <c r="I54" s="60"/>
      <c r="J54" s="60"/>
      <c r="K54" s="60"/>
      <c r="L54" s="60"/>
      <c r="M54" s="60"/>
      <c r="N54" s="60"/>
      <c r="O54" s="60"/>
      <c r="P54" s="60"/>
      <c r="Q54" s="60"/>
      <c r="R54" s="60"/>
      <c r="S54" s="60"/>
      <c r="T54" s="60"/>
      <c r="U54" s="60"/>
      <c r="V54" s="60"/>
      <c r="W54" s="60"/>
      <c r="X54" s="60"/>
      <c r="Y54" s="60"/>
    </row>
    <row r="55" spans="2:25" ht="12.75" customHeight="1">
      <c r="B55" s="60"/>
      <c r="C55" s="60"/>
      <c r="D55" s="60"/>
      <c r="E55" s="60"/>
      <c r="F55" s="60"/>
      <c r="G55" s="60"/>
      <c r="H55" s="60"/>
      <c r="I55" s="60"/>
      <c r="J55" s="60"/>
      <c r="K55" s="60"/>
      <c r="L55" s="60"/>
      <c r="M55" s="60"/>
      <c r="N55" s="60"/>
      <c r="O55" s="60"/>
      <c r="P55" s="60"/>
      <c r="Q55" s="60"/>
      <c r="R55" s="60"/>
      <c r="S55" s="60"/>
      <c r="T55" s="60"/>
      <c r="U55" s="60"/>
      <c r="V55" s="60"/>
      <c r="W55" s="60"/>
      <c r="X55" s="60"/>
      <c r="Y55" s="60"/>
    </row>
    <row r="56" spans="2:25" ht="12.75" customHeight="1">
      <c r="B56" s="60"/>
      <c r="C56" s="60"/>
      <c r="D56" s="60"/>
      <c r="E56" s="60"/>
      <c r="F56" s="60"/>
      <c r="G56" s="60"/>
      <c r="H56" s="60"/>
      <c r="I56" s="60"/>
      <c r="J56" s="60"/>
      <c r="K56" s="60"/>
      <c r="L56" s="60"/>
      <c r="M56" s="60"/>
      <c r="N56" s="60"/>
      <c r="O56" s="60"/>
      <c r="P56" s="60"/>
      <c r="Q56" s="60"/>
      <c r="R56" s="60"/>
      <c r="S56" s="60"/>
      <c r="T56" s="60"/>
      <c r="U56" s="60"/>
      <c r="V56" s="60"/>
      <c r="W56" s="60"/>
      <c r="X56" s="60"/>
      <c r="Y56" s="60"/>
    </row>
    <row r="57" spans="2:25" ht="12.75" customHeight="1">
      <c r="B57" s="60"/>
      <c r="C57" s="60"/>
      <c r="D57" s="60"/>
      <c r="E57" s="60"/>
      <c r="F57" s="60"/>
      <c r="G57" s="60"/>
      <c r="H57" s="60"/>
      <c r="I57" s="60"/>
      <c r="J57" s="60"/>
      <c r="K57" s="60"/>
      <c r="L57" s="60"/>
      <c r="M57" s="60"/>
      <c r="N57" s="60"/>
      <c r="O57" s="60"/>
      <c r="P57" s="60"/>
      <c r="Q57" s="60"/>
      <c r="R57" s="60"/>
      <c r="S57" s="60"/>
      <c r="T57" s="60"/>
      <c r="U57" s="60"/>
      <c r="V57" s="60"/>
      <c r="W57" s="60"/>
      <c r="X57" s="60"/>
      <c r="Y57" s="60"/>
    </row>
    <row r="58" spans="2:25" ht="12.75" customHeight="1">
      <c r="B58" s="60"/>
      <c r="C58" s="60"/>
      <c r="D58" s="60"/>
      <c r="E58" s="60"/>
      <c r="F58" s="60"/>
      <c r="G58" s="60"/>
      <c r="H58" s="60"/>
      <c r="I58" s="60"/>
      <c r="J58" s="60"/>
      <c r="K58" s="60"/>
      <c r="L58" s="60"/>
      <c r="M58" s="60"/>
      <c r="N58" s="60"/>
      <c r="O58" s="60"/>
      <c r="P58" s="60"/>
      <c r="Q58" s="60"/>
      <c r="R58" s="60"/>
      <c r="S58" s="60"/>
      <c r="T58" s="60"/>
      <c r="U58" s="60"/>
      <c r="V58" s="60"/>
      <c r="W58" s="60"/>
      <c r="X58" s="60"/>
      <c r="Y58" s="60"/>
    </row>
    <row r="59" spans="2:25" ht="12.75" customHeight="1">
      <c r="B59" s="60"/>
      <c r="C59" s="60"/>
      <c r="D59" s="60"/>
      <c r="E59" s="60"/>
      <c r="F59" s="60"/>
      <c r="G59" s="60"/>
      <c r="H59" s="60"/>
      <c r="I59" s="60"/>
      <c r="J59" s="60"/>
      <c r="K59" s="60"/>
      <c r="L59" s="60"/>
      <c r="M59" s="60"/>
      <c r="N59" s="60"/>
      <c r="O59" s="60"/>
      <c r="P59" s="60"/>
      <c r="Q59" s="60"/>
      <c r="R59" s="60"/>
      <c r="S59" s="60"/>
      <c r="T59" s="60"/>
      <c r="U59" s="60"/>
      <c r="V59" s="60"/>
      <c r="W59" s="60"/>
      <c r="X59" s="60"/>
      <c r="Y59" s="60"/>
    </row>
    <row r="60" spans="2:25" ht="12.75" customHeight="1">
      <c r="B60" s="60"/>
      <c r="C60" s="60"/>
      <c r="D60" s="60"/>
      <c r="E60" s="60"/>
      <c r="F60" s="60"/>
      <c r="G60" s="60"/>
      <c r="H60" s="60"/>
      <c r="I60" s="60"/>
      <c r="J60" s="60"/>
      <c r="K60" s="60"/>
      <c r="L60" s="60"/>
      <c r="M60" s="60"/>
      <c r="N60" s="60"/>
      <c r="O60" s="60"/>
      <c r="P60" s="60"/>
      <c r="Q60" s="60"/>
      <c r="R60" s="60"/>
      <c r="S60" s="60"/>
      <c r="T60" s="60"/>
      <c r="U60" s="60"/>
      <c r="V60" s="60"/>
      <c r="W60" s="60"/>
      <c r="X60" s="60"/>
      <c r="Y60" s="60"/>
    </row>
    <row r="61" spans="2:25" ht="12.75" customHeight="1">
      <c r="B61" s="60"/>
      <c r="C61" s="60"/>
      <c r="D61" s="60"/>
      <c r="E61" s="60"/>
      <c r="F61" s="60"/>
      <c r="G61" s="60"/>
      <c r="H61" s="60"/>
      <c r="I61" s="60"/>
      <c r="J61" s="60"/>
      <c r="K61" s="60"/>
      <c r="L61" s="60"/>
      <c r="M61" s="60"/>
      <c r="N61" s="60"/>
      <c r="O61" s="60"/>
      <c r="P61" s="60"/>
      <c r="Q61" s="60"/>
      <c r="R61" s="60"/>
      <c r="S61" s="60"/>
      <c r="T61" s="60"/>
      <c r="U61" s="60"/>
      <c r="V61" s="60"/>
      <c r="W61" s="60"/>
      <c r="X61" s="60"/>
      <c r="Y61" s="60"/>
    </row>
    <row r="62" spans="2:25" ht="12.75" customHeight="1">
      <c r="B62" s="60"/>
      <c r="C62" s="60"/>
      <c r="D62" s="60"/>
      <c r="E62" s="60"/>
      <c r="F62" s="60"/>
      <c r="G62" s="60"/>
      <c r="H62" s="60"/>
      <c r="I62" s="60"/>
      <c r="J62" s="60"/>
      <c r="K62" s="60"/>
      <c r="L62" s="60"/>
      <c r="M62" s="60"/>
      <c r="N62" s="60"/>
      <c r="O62" s="60"/>
      <c r="P62" s="60"/>
      <c r="Q62" s="60"/>
      <c r="R62" s="60"/>
      <c r="S62" s="60"/>
      <c r="T62" s="60"/>
      <c r="U62" s="60"/>
      <c r="V62" s="60"/>
      <c r="W62" s="60"/>
      <c r="X62" s="60"/>
      <c r="Y62" s="60"/>
    </row>
    <row r="63" spans="2:25" ht="12.75" customHeight="1">
      <c r="B63" s="60"/>
      <c r="C63" s="60"/>
      <c r="D63" s="60"/>
      <c r="E63" s="60"/>
      <c r="F63" s="60"/>
      <c r="G63" s="60"/>
      <c r="H63" s="60"/>
      <c r="I63" s="60"/>
      <c r="J63" s="60"/>
      <c r="K63" s="60"/>
      <c r="L63" s="60"/>
      <c r="M63" s="60"/>
      <c r="N63" s="60"/>
      <c r="O63" s="60"/>
      <c r="P63" s="60"/>
      <c r="Q63" s="60"/>
      <c r="R63" s="60"/>
      <c r="S63" s="60"/>
      <c r="T63" s="60"/>
      <c r="U63" s="60"/>
      <c r="V63" s="60"/>
      <c r="W63" s="60"/>
      <c r="X63" s="60"/>
      <c r="Y63" s="60"/>
    </row>
    <row r="64" spans="2:25" ht="12.75" customHeight="1">
      <c r="B64" s="60"/>
      <c r="C64" s="60"/>
      <c r="D64" s="60"/>
      <c r="E64" s="60"/>
      <c r="F64" s="60"/>
      <c r="G64" s="60"/>
      <c r="H64" s="60"/>
      <c r="I64" s="60"/>
      <c r="J64" s="60"/>
      <c r="K64" s="60"/>
      <c r="L64" s="60"/>
      <c r="M64" s="60"/>
      <c r="N64" s="60"/>
      <c r="O64" s="60"/>
      <c r="P64" s="60"/>
      <c r="Q64" s="60"/>
      <c r="R64" s="60"/>
      <c r="S64" s="60"/>
      <c r="T64" s="60"/>
      <c r="U64" s="60"/>
      <c r="V64" s="60"/>
      <c r="W64" s="60"/>
      <c r="X64" s="60"/>
      <c r="Y64" s="60"/>
    </row>
    <row r="65" spans="2:25" ht="12.75" customHeight="1">
      <c r="B65" s="60"/>
      <c r="C65" s="60"/>
      <c r="D65" s="60"/>
      <c r="E65" s="60"/>
      <c r="F65" s="60"/>
      <c r="G65" s="60"/>
      <c r="H65" s="60"/>
      <c r="I65" s="60"/>
      <c r="J65" s="60"/>
      <c r="K65" s="60"/>
      <c r="L65" s="60"/>
      <c r="M65" s="60"/>
      <c r="N65" s="60"/>
      <c r="O65" s="60"/>
      <c r="P65" s="60"/>
      <c r="Q65" s="60"/>
      <c r="R65" s="60"/>
      <c r="S65" s="60"/>
      <c r="T65" s="60"/>
      <c r="U65" s="60"/>
      <c r="V65" s="60"/>
      <c r="W65" s="60"/>
      <c r="X65" s="60"/>
      <c r="Y65" s="60"/>
    </row>
    <row r="66" spans="2:25" ht="12.75" customHeight="1">
      <c r="B66" s="60"/>
      <c r="C66" s="60"/>
      <c r="D66" s="60"/>
      <c r="E66" s="60"/>
      <c r="F66" s="60"/>
      <c r="G66" s="60"/>
      <c r="H66" s="60"/>
      <c r="I66" s="60"/>
      <c r="J66" s="60"/>
      <c r="K66" s="60"/>
      <c r="L66" s="60"/>
      <c r="M66" s="60"/>
      <c r="N66" s="60"/>
      <c r="O66" s="60"/>
      <c r="P66" s="60"/>
      <c r="Q66" s="60"/>
      <c r="R66" s="60"/>
      <c r="S66" s="60"/>
      <c r="T66" s="60"/>
      <c r="U66" s="60"/>
      <c r="V66" s="60"/>
      <c r="W66" s="60"/>
      <c r="X66" s="60"/>
      <c r="Y66" s="60"/>
    </row>
    <row r="67" spans="2:25" ht="12.75" customHeight="1">
      <c r="B67" s="60"/>
      <c r="C67" s="60"/>
      <c r="D67" s="60"/>
      <c r="E67" s="60"/>
      <c r="F67" s="60"/>
      <c r="G67" s="60"/>
      <c r="H67" s="60"/>
      <c r="I67" s="60"/>
      <c r="J67" s="60"/>
      <c r="K67" s="60"/>
      <c r="L67" s="60"/>
      <c r="M67" s="60"/>
      <c r="N67" s="60"/>
      <c r="O67" s="60"/>
      <c r="P67" s="60"/>
      <c r="Q67" s="60"/>
      <c r="R67" s="60"/>
      <c r="S67" s="60"/>
      <c r="T67" s="60"/>
      <c r="U67" s="60"/>
      <c r="V67" s="60"/>
      <c r="W67" s="60"/>
      <c r="X67" s="60"/>
      <c r="Y67" s="60"/>
    </row>
    <row r="68" spans="2:25" ht="12.75" customHeight="1">
      <c r="B68" s="60"/>
      <c r="C68" s="60"/>
      <c r="D68" s="60"/>
      <c r="E68" s="60"/>
      <c r="F68" s="60"/>
      <c r="G68" s="60"/>
      <c r="H68" s="60"/>
      <c r="I68" s="60"/>
      <c r="J68" s="60"/>
      <c r="K68" s="60"/>
      <c r="L68" s="60"/>
      <c r="M68" s="60"/>
      <c r="N68" s="60"/>
      <c r="O68" s="60"/>
      <c r="P68" s="60"/>
      <c r="Q68" s="60"/>
      <c r="R68" s="60"/>
      <c r="S68" s="60"/>
      <c r="T68" s="60"/>
      <c r="U68" s="60"/>
      <c r="V68" s="60"/>
      <c r="W68" s="60"/>
      <c r="X68" s="60"/>
      <c r="Y68" s="60"/>
    </row>
    <row r="69" spans="2:25" ht="12.75" customHeight="1">
      <c r="B69" s="60"/>
      <c r="C69" s="60"/>
      <c r="D69" s="60"/>
      <c r="E69" s="60"/>
      <c r="F69" s="60"/>
      <c r="G69" s="60"/>
      <c r="H69" s="60"/>
      <c r="I69" s="60"/>
      <c r="J69" s="60"/>
      <c r="K69" s="60"/>
      <c r="L69" s="60"/>
      <c r="M69" s="60"/>
      <c r="N69" s="60"/>
      <c r="O69" s="60"/>
      <c r="P69" s="60"/>
      <c r="Q69" s="60"/>
      <c r="R69" s="60"/>
      <c r="S69" s="60"/>
      <c r="T69" s="60"/>
      <c r="U69" s="60"/>
      <c r="V69" s="60"/>
      <c r="W69" s="60"/>
      <c r="X69" s="60"/>
      <c r="Y69" s="60"/>
    </row>
    <row r="70" spans="2:25" ht="12.75" customHeight="1">
      <c r="B70" s="60"/>
      <c r="C70" s="60"/>
      <c r="D70" s="60"/>
      <c r="E70" s="60"/>
      <c r="F70" s="60"/>
      <c r="G70" s="60"/>
      <c r="H70" s="60"/>
      <c r="I70" s="60"/>
      <c r="J70" s="60"/>
      <c r="K70" s="60"/>
      <c r="L70" s="60"/>
      <c r="M70" s="60"/>
      <c r="N70" s="60"/>
      <c r="O70" s="60"/>
      <c r="P70" s="60"/>
      <c r="Q70" s="60"/>
      <c r="R70" s="60"/>
      <c r="S70" s="60"/>
      <c r="T70" s="60"/>
      <c r="U70" s="60"/>
      <c r="V70" s="60"/>
      <c r="W70" s="60"/>
      <c r="X70" s="60"/>
      <c r="Y70" s="60"/>
    </row>
    <row r="71" spans="2:25" ht="12.75" customHeight="1">
      <c r="B71" s="60"/>
      <c r="C71" s="60"/>
      <c r="D71" s="60"/>
      <c r="E71" s="60"/>
      <c r="F71" s="60"/>
      <c r="G71" s="60"/>
      <c r="H71" s="60"/>
      <c r="I71" s="60"/>
      <c r="J71" s="60"/>
      <c r="K71" s="60"/>
      <c r="L71" s="60"/>
      <c r="M71" s="60"/>
      <c r="N71" s="60"/>
      <c r="O71" s="60"/>
      <c r="P71" s="60"/>
      <c r="Q71" s="60"/>
      <c r="R71" s="60"/>
      <c r="S71" s="60"/>
      <c r="T71" s="60"/>
      <c r="U71" s="60"/>
      <c r="V71" s="60"/>
      <c r="W71" s="60"/>
      <c r="X71" s="60"/>
      <c r="Y71" s="60"/>
    </row>
    <row r="72" spans="2:25" ht="12.75" customHeight="1">
      <c r="B72" s="60"/>
      <c r="C72" s="60"/>
      <c r="D72" s="60"/>
      <c r="E72" s="60"/>
      <c r="F72" s="60"/>
      <c r="G72" s="60"/>
      <c r="H72" s="60"/>
      <c r="I72" s="60"/>
      <c r="J72" s="60"/>
      <c r="K72" s="60"/>
      <c r="L72" s="60"/>
      <c r="M72" s="60"/>
      <c r="N72" s="60"/>
      <c r="O72" s="60"/>
      <c r="P72" s="60"/>
      <c r="Q72" s="60"/>
      <c r="R72" s="60"/>
      <c r="S72" s="60"/>
      <c r="T72" s="60"/>
      <c r="U72" s="60"/>
      <c r="V72" s="60"/>
      <c r="W72" s="60"/>
      <c r="X72" s="60"/>
      <c r="Y72" s="60"/>
    </row>
    <row r="73" spans="2:25" ht="12.75" customHeight="1">
      <c r="B73" s="60"/>
      <c r="C73" s="60"/>
      <c r="D73" s="60"/>
      <c r="E73" s="60"/>
      <c r="F73" s="60"/>
      <c r="G73" s="60"/>
      <c r="H73" s="60"/>
      <c r="I73" s="60"/>
      <c r="J73" s="60"/>
      <c r="K73" s="60"/>
      <c r="L73" s="60"/>
      <c r="M73" s="60"/>
      <c r="N73" s="60"/>
      <c r="O73" s="60"/>
      <c r="P73" s="60"/>
      <c r="Q73" s="60"/>
      <c r="R73" s="60"/>
      <c r="S73" s="60"/>
      <c r="T73" s="60"/>
      <c r="U73" s="60"/>
      <c r="V73" s="60"/>
      <c r="W73" s="60"/>
      <c r="X73" s="60"/>
      <c r="Y73" s="60"/>
    </row>
    <row r="74" spans="2:25" ht="12.75" customHeight="1">
      <c r="B74" s="60"/>
      <c r="C74" s="60"/>
      <c r="D74" s="60"/>
      <c r="E74" s="60"/>
      <c r="F74" s="60"/>
      <c r="G74" s="60"/>
      <c r="H74" s="60"/>
      <c r="I74" s="60"/>
      <c r="J74" s="60"/>
      <c r="K74" s="60"/>
      <c r="L74" s="60"/>
      <c r="M74" s="60"/>
      <c r="N74" s="60"/>
      <c r="O74" s="60"/>
      <c r="P74" s="60"/>
      <c r="Q74" s="60"/>
      <c r="R74" s="60"/>
      <c r="S74" s="60"/>
      <c r="T74" s="60"/>
      <c r="U74" s="60"/>
      <c r="V74" s="60"/>
      <c r="W74" s="60"/>
      <c r="X74" s="60"/>
      <c r="Y74" s="60"/>
    </row>
    <row r="75" spans="2:25" ht="12.75" customHeight="1">
      <c r="B75" s="60"/>
      <c r="C75" s="60"/>
      <c r="D75" s="60"/>
      <c r="E75" s="60"/>
      <c r="F75" s="60"/>
      <c r="G75" s="60"/>
      <c r="H75" s="60"/>
      <c r="I75" s="60"/>
      <c r="J75" s="60"/>
      <c r="K75" s="60"/>
      <c r="L75" s="60"/>
      <c r="M75" s="60"/>
      <c r="N75" s="60"/>
      <c r="O75" s="60"/>
      <c r="P75" s="60"/>
      <c r="Q75" s="60"/>
      <c r="R75" s="60"/>
      <c r="S75" s="60"/>
      <c r="T75" s="60"/>
      <c r="U75" s="60"/>
      <c r="V75" s="60"/>
      <c r="W75" s="60"/>
      <c r="X75" s="60"/>
      <c r="Y75" s="60"/>
    </row>
    <row r="76" spans="2:25" ht="12.75" customHeight="1">
      <c r="B76" s="60"/>
      <c r="C76" s="60"/>
      <c r="D76" s="60"/>
      <c r="E76" s="60"/>
      <c r="F76" s="60"/>
      <c r="G76" s="60"/>
      <c r="H76" s="60"/>
      <c r="I76" s="60"/>
      <c r="J76" s="60"/>
      <c r="K76" s="60"/>
      <c r="L76" s="60"/>
      <c r="M76" s="60"/>
      <c r="N76" s="60"/>
      <c r="O76" s="60"/>
      <c r="P76" s="60"/>
      <c r="Q76" s="60"/>
      <c r="R76" s="60"/>
      <c r="S76" s="60"/>
      <c r="T76" s="60"/>
      <c r="U76" s="60"/>
      <c r="V76" s="60"/>
      <c r="W76" s="60"/>
      <c r="X76" s="60"/>
      <c r="Y76" s="60"/>
    </row>
    <row r="77" spans="2:25" ht="12.75" customHeight="1">
      <c r="B77" s="60"/>
      <c r="C77" s="60"/>
      <c r="D77" s="60"/>
      <c r="E77" s="60"/>
      <c r="F77" s="60"/>
      <c r="G77" s="60"/>
      <c r="H77" s="60"/>
      <c r="I77" s="60"/>
      <c r="J77" s="60"/>
      <c r="K77" s="60"/>
      <c r="L77" s="60"/>
      <c r="M77" s="60"/>
      <c r="N77" s="60"/>
      <c r="O77" s="60"/>
      <c r="P77" s="60"/>
      <c r="Q77" s="60"/>
      <c r="R77" s="60"/>
      <c r="S77" s="60"/>
      <c r="T77" s="60"/>
      <c r="U77" s="60"/>
      <c r="V77" s="60"/>
      <c r="W77" s="60"/>
      <c r="X77" s="60"/>
      <c r="Y77" s="60"/>
    </row>
    <row r="78" spans="2:25" ht="12.75" customHeight="1">
      <c r="B78" s="60"/>
      <c r="C78" s="60"/>
      <c r="D78" s="60"/>
      <c r="E78" s="60"/>
      <c r="F78" s="60"/>
      <c r="G78" s="60"/>
      <c r="H78" s="60"/>
      <c r="I78" s="60"/>
      <c r="J78" s="60"/>
      <c r="K78" s="60"/>
      <c r="L78" s="60"/>
      <c r="M78" s="60"/>
      <c r="N78" s="60"/>
      <c r="O78" s="60"/>
      <c r="P78" s="60"/>
      <c r="Q78" s="60"/>
      <c r="R78" s="60"/>
      <c r="S78" s="60"/>
      <c r="T78" s="60"/>
      <c r="U78" s="60"/>
      <c r="V78" s="60"/>
      <c r="W78" s="60"/>
      <c r="X78" s="60"/>
      <c r="Y78" s="60"/>
    </row>
    <row r="79" spans="2:25" ht="12.75" customHeight="1">
      <c r="B79" s="60"/>
      <c r="C79" s="60"/>
      <c r="D79" s="60"/>
      <c r="E79" s="60"/>
      <c r="F79" s="60"/>
      <c r="G79" s="60"/>
      <c r="H79" s="60"/>
      <c r="I79" s="60"/>
      <c r="J79" s="60"/>
      <c r="K79" s="60"/>
      <c r="L79" s="60"/>
      <c r="M79" s="60"/>
      <c r="N79" s="60"/>
      <c r="O79" s="60"/>
      <c r="P79" s="60"/>
      <c r="Q79" s="60"/>
      <c r="R79" s="60"/>
      <c r="S79" s="60"/>
      <c r="T79" s="60"/>
      <c r="U79" s="60"/>
      <c r="V79" s="60"/>
      <c r="W79" s="60"/>
      <c r="X79" s="60"/>
      <c r="Y79" s="60"/>
    </row>
    <row r="80" spans="2:25" ht="12.75" customHeight="1">
      <c r="B80" s="60"/>
      <c r="C80" s="60"/>
      <c r="D80" s="60"/>
      <c r="E80" s="60"/>
      <c r="F80" s="60"/>
      <c r="G80" s="60"/>
      <c r="H80" s="60"/>
      <c r="I80" s="60"/>
      <c r="J80" s="60"/>
      <c r="K80" s="60"/>
      <c r="L80" s="60"/>
      <c r="M80" s="60"/>
      <c r="N80" s="60"/>
      <c r="O80" s="60"/>
      <c r="P80" s="60"/>
      <c r="Q80" s="60"/>
      <c r="R80" s="60"/>
      <c r="S80" s="60"/>
      <c r="T80" s="60"/>
      <c r="U80" s="60"/>
      <c r="V80" s="60"/>
      <c r="W80" s="60"/>
      <c r="X80" s="60"/>
      <c r="Y80" s="60"/>
    </row>
    <row r="81" spans="2:25" ht="12.75" customHeight="1">
      <c r="B81" s="60"/>
      <c r="C81" s="60"/>
      <c r="D81" s="60"/>
      <c r="E81" s="60"/>
      <c r="F81" s="60"/>
      <c r="G81" s="60"/>
      <c r="H81" s="60"/>
      <c r="I81" s="60"/>
      <c r="J81" s="60"/>
      <c r="K81" s="60"/>
      <c r="L81" s="60"/>
      <c r="M81" s="60"/>
      <c r="N81" s="60"/>
      <c r="O81" s="60"/>
      <c r="P81" s="60"/>
      <c r="Q81" s="60"/>
      <c r="R81" s="60"/>
      <c r="S81" s="60"/>
      <c r="T81" s="60"/>
      <c r="U81" s="60"/>
      <c r="V81" s="60"/>
      <c r="W81" s="60"/>
      <c r="X81" s="60"/>
      <c r="Y81" s="60"/>
    </row>
    <row r="82" spans="2:25" ht="12.75" customHeight="1">
      <c r="B82" s="60"/>
      <c r="C82" s="60"/>
      <c r="D82" s="60"/>
      <c r="E82" s="60"/>
      <c r="F82" s="60"/>
      <c r="G82" s="60"/>
      <c r="H82" s="60"/>
      <c r="I82" s="60"/>
      <c r="J82" s="60"/>
      <c r="K82" s="60"/>
      <c r="L82" s="60"/>
      <c r="M82" s="60"/>
      <c r="N82" s="60"/>
      <c r="O82" s="60"/>
      <c r="P82" s="60"/>
      <c r="Q82" s="60"/>
      <c r="R82" s="60"/>
      <c r="S82" s="60"/>
      <c r="T82" s="60"/>
      <c r="U82" s="60"/>
      <c r="V82" s="60"/>
      <c r="W82" s="60"/>
      <c r="X82" s="60"/>
      <c r="Y82" s="60"/>
    </row>
    <row r="83" spans="2:25" ht="12.75" customHeight="1">
      <c r="B83" s="60"/>
      <c r="C83" s="60"/>
      <c r="D83" s="60"/>
      <c r="E83" s="60"/>
      <c r="F83" s="60"/>
      <c r="G83" s="60"/>
      <c r="H83" s="60"/>
      <c r="I83" s="60"/>
      <c r="J83" s="60"/>
      <c r="K83" s="60"/>
      <c r="L83" s="60"/>
      <c r="M83" s="60"/>
      <c r="N83" s="60"/>
      <c r="O83" s="60"/>
      <c r="P83" s="60"/>
      <c r="Q83" s="60"/>
      <c r="R83" s="60"/>
      <c r="S83" s="60"/>
      <c r="T83" s="60"/>
      <c r="U83" s="60"/>
      <c r="V83" s="60"/>
      <c r="W83" s="60"/>
      <c r="X83" s="60"/>
      <c r="Y83" s="60"/>
    </row>
    <row r="84" spans="2:25" ht="12.75" customHeight="1">
      <c r="B84" s="60"/>
      <c r="C84" s="60"/>
      <c r="D84" s="60"/>
      <c r="E84" s="60"/>
      <c r="F84" s="60"/>
      <c r="G84" s="60"/>
      <c r="H84" s="60"/>
      <c r="I84" s="60"/>
      <c r="J84" s="60"/>
      <c r="K84" s="60"/>
      <c r="L84" s="60"/>
      <c r="M84" s="60"/>
      <c r="N84" s="60"/>
      <c r="O84" s="60"/>
      <c r="P84" s="60"/>
      <c r="Q84" s="60"/>
      <c r="R84" s="60"/>
      <c r="S84" s="60"/>
      <c r="T84" s="60"/>
      <c r="U84" s="60"/>
      <c r="V84" s="60"/>
      <c r="W84" s="60"/>
      <c r="X84" s="60"/>
      <c r="Y84" s="60"/>
    </row>
    <row r="85" spans="2:25" ht="12.75" customHeight="1">
      <c r="B85" s="60"/>
      <c r="C85" s="60"/>
      <c r="D85" s="60"/>
      <c r="E85" s="60"/>
      <c r="F85" s="60"/>
      <c r="G85" s="60"/>
      <c r="H85" s="60"/>
      <c r="I85" s="60"/>
      <c r="J85" s="60"/>
      <c r="K85" s="60"/>
      <c r="L85" s="60"/>
      <c r="M85" s="60"/>
      <c r="N85" s="60"/>
      <c r="O85" s="60"/>
      <c r="P85" s="60"/>
      <c r="Q85" s="60"/>
      <c r="R85" s="60"/>
      <c r="S85" s="60"/>
      <c r="T85" s="60"/>
      <c r="U85" s="60"/>
      <c r="V85" s="60"/>
      <c r="W85" s="60"/>
      <c r="X85" s="60"/>
      <c r="Y85" s="60"/>
    </row>
    <row r="86" spans="2:25" ht="12.75" customHeight="1">
      <c r="B86" s="60"/>
      <c r="C86" s="60"/>
      <c r="D86" s="60"/>
      <c r="E86" s="60"/>
      <c r="F86" s="60"/>
      <c r="G86" s="60"/>
      <c r="H86" s="60"/>
      <c r="I86" s="60"/>
      <c r="J86" s="60"/>
      <c r="K86" s="60"/>
      <c r="L86" s="60"/>
      <c r="M86" s="60"/>
      <c r="N86" s="60"/>
      <c r="O86" s="60"/>
      <c r="P86" s="60"/>
      <c r="Q86" s="60"/>
      <c r="R86" s="60"/>
      <c r="S86" s="60"/>
      <c r="T86" s="60"/>
      <c r="U86" s="60"/>
      <c r="V86" s="60"/>
      <c r="W86" s="60"/>
      <c r="X86" s="60"/>
      <c r="Y86" s="60"/>
    </row>
    <row r="87" spans="2:25" ht="12.75" customHeight="1">
      <c r="B87" s="60"/>
      <c r="C87" s="60"/>
      <c r="D87" s="60"/>
      <c r="E87" s="60"/>
      <c r="F87" s="60"/>
      <c r="G87" s="60"/>
      <c r="H87" s="60"/>
      <c r="I87" s="60"/>
      <c r="J87" s="60"/>
      <c r="K87" s="60"/>
      <c r="L87" s="60"/>
      <c r="M87" s="60"/>
      <c r="N87" s="60"/>
      <c r="O87" s="60"/>
      <c r="P87" s="60"/>
      <c r="Q87" s="60"/>
      <c r="R87" s="60"/>
      <c r="S87" s="60"/>
      <c r="T87" s="60"/>
      <c r="U87" s="60"/>
      <c r="V87" s="60"/>
      <c r="W87" s="60"/>
      <c r="X87" s="60"/>
      <c r="Y87" s="60"/>
    </row>
    <row r="88" spans="2:25" ht="12.75" customHeight="1">
      <c r="B88" s="60"/>
      <c r="C88" s="60"/>
      <c r="D88" s="60"/>
      <c r="E88" s="60"/>
      <c r="F88" s="60"/>
      <c r="G88" s="60"/>
      <c r="H88" s="60"/>
      <c r="I88" s="60"/>
      <c r="J88" s="60"/>
      <c r="K88" s="60"/>
      <c r="L88" s="60"/>
      <c r="M88" s="60"/>
      <c r="N88" s="60"/>
      <c r="O88" s="60"/>
      <c r="P88" s="60"/>
      <c r="Q88" s="60"/>
      <c r="R88" s="60"/>
      <c r="S88" s="60"/>
      <c r="T88" s="60"/>
      <c r="U88" s="60"/>
      <c r="V88" s="60"/>
      <c r="W88" s="60"/>
      <c r="X88" s="60"/>
      <c r="Y88" s="60"/>
    </row>
    <row r="89" spans="2:25" ht="12.75" customHeight="1">
      <c r="B89" s="60"/>
      <c r="C89" s="60"/>
      <c r="D89" s="60"/>
      <c r="E89" s="60"/>
      <c r="F89" s="60"/>
      <c r="G89" s="60"/>
      <c r="H89" s="60"/>
      <c r="I89" s="60"/>
      <c r="J89" s="60"/>
      <c r="K89" s="60"/>
      <c r="L89" s="60"/>
      <c r="M89" s="60"/>
      <c r="N89" s="60"/>
      <c r="O89" s="60"/>
      <c r="P89" s="60"/>
      <c r="Q89" s="60"/>
      <c r="R89" s="60"/>
      <c r="S89" s="60"/>
      <c r="T89" s="60"/>
      <c r="U89" s="60"/>
      <c r="V89" s="60"/>
      <c r="W89" s="60"/>
      <c r="X89" s="60"/>
      <c r="Y89" s="60"/>
    </row>
    <row r="90" spans="2:25" ht="12.75" customHeight="1">
      <c r="B90" s="60"/>
      <c r="C90" s="60"/>
      <c r="D90" s="60"/>
      <c r="E90" s="60"/>
      <c r="F90" s="60"/>
      <c r="G90" s="60"/>
      <c r="H90" s="60"/>
      <c r="I90" s="60"/>
      <c r="J90" s="60"/>
      <c r="K90" s="60"/>
      <c r="L90" s="60"/>
      <c r="M90" s="60"/>
      <c r="N90" s="60"/>
      <c r="O90" s="60"/>
      <c r="P90" s="60"/>
      <c r="Q90" s="60"/>
      <c r="R90" s="60"/>
      <c r="S90" s="60"/>
      <c r="T90" s="60"/>
      <c r="U90" s="60"/>
      <c r="V90" s="60"/>
      <c r="W90" s="60"/>
      <c r="X90" s="60"/>
      <c r="Y90" s="60"/>
    </row>
    <row r="91" spans="2:25" ht="12.75" customHeight="1">
      <c r="B91" s="60"/>
      <c r="C91" s="60"/>
      <c r="D91" s="60"/>
      <c r="E91" s="60"/>
      <c r="F91" s="60"/>
      <c r="G91" s="60"/>
      <c r="H91" s="60"/>
      <c r="I91" s="60"/>
      <c r="J91" s="60"/>
      <c r="K91" s="60"/>
      <c r="L91" s="60"/>
      <c r="M91" s="60"/>
      <c r="N91" s="60"/>
      <c r="O91" s="60"/>
      <c r="P91" s="60"/>
      <c r="Q91" s="60"/>
      <c r="R91" s="60"/>
      <c r="S91" s="60"/>
      <c r="T91" s="60"/>
      <c r="U91" s="60"/>
      <c r="V91" s="60"/>
      <c r="W91" s="60"/>
      <c r="X91" s="60"/>
      <c r="Y91" s="60"/>
    </row>
    <row r="92" spans="2:25" ht="12.75" customHeight="1">
      <c r="B92" s="60"/>
      <c r="C92" s="60"/>
      <c r="D92" s="60"/>
      <c r="E92" s="60"/>
      <c r="F92" s="60"/>
      <c r="G92" s="60"/>
      <c r="H92" s="60"/>
      <c r="I92" s="60"/>
      <c r="J92" s="60"/>
      <c r="K92" s="60"/>
      <c r="L92" s="60"/>
      <c r="M92" s="60"/>
      <c r="N92" s="60"/>
      <c r="O92" s="60"/>
      <c r="P92" s="60"/>
      <c r="Q92" s="60"/>
      <c r="R92" s="60"/>
      <c r="S92" s="60"/>
      <c r="T92" s="60"/>
      <c r="U92" s="60"/>
      <c r="V92" s="60"/>
      <c r="W92" s="60"/>
      <c r="X92" s="60"/>
      <c r="Y92" s="60"/>
    </row>
    <row r="93" spans="2:25" ht="12.75" customHeight="1">
      <c r="B93" s="60"/>
      <c r="C93" s="60"/>
      <c r="D93" s="60"/>
      <c r="E93" s="60"/>
      <c r="F93" s="60"/>
      <c r="G93" s="60"/>
      <c r="H93" s="60"/>
      <c r="I93" s="60"/>
      <c r="J93" s="60"/>
      <c r="K93" s="60"/>
      <c r="L93" s="60"/>
      <c r="M93" s="60"/>
      <c r="N93" s="60"/>
      <c r="O93" s="60"/>
      <c r="P93" s="60"/>
      <c r="Q93" s="60"/>
      <c r="R93" s="60"/>
      <c r="S93" s="60"/>
      <c r="T93" s="60"/>
      <c r="U93" s="60"/>
      <c r="V93" s="60"/>
      <c r="W93" s="60"/>
      <c r="X93" s="60"/>
      <c r="Y93" s="60"/>
    </row>
    <row r="94" spans="2:25" ht="12.75" customHeight="1">
      <c r="B94" s="60"/>
      <c r="C94" s="60"/>
      <c r="D94" s="60"/>
      <c r="E94" s="60"/>
      <c r="F94" s="60"/>
      <c r="G94" s="60"/>
      <c r="H94" s="60"/>
      <c r="I94" s="60"/>
      <c r="J94" s="60"/>
      <c r="K94" s="60"/>
      <c r="L94" s="60"/>
      <c r="M94" s="60"/>
      <c r="N94" s="60"/>
      <c r="O94" s="60"/>
      <c r="P94" s="60"/>
      <c r="Q94" s="60"/>
      <c r="R94" s="60"/>
      <c r="S94" s="60"/>
      <c r="T94" s="60"/>
      <c r="U94" s="60"/>
      <c r="V94" s="60"/>
      <c r="W94" s="60"/>
      <c r="X94" s="60"/>
      <c r="Y94" s="60"/>
    </row>
    <row r="95" spans="2:25" ht="12.75" customHeight="1">
      <c r="B95" s="60"/>
      <c r="C95" s="60"/>
      <c r="D95" s="60"/>
      <c r="E95" s="60"/>
      <c r="F95" s="60"/>
      <c r="G95" s="60"/>
      <c r="H95" s="60"/>
      <c r="I95" s="60"/>
      <c r="J95" s="60"/>
      <c r="K95" s="60"/>
      <c r="L95" s="60"/>
      <c r="M95" s="60"/>
      <c r="N95" s="60"/>
      <c r="O95" s="60"/>
      <c r="P95" s="60"/>
      <c r="Q95" s="60"/>
      <c r="R95" s="60"/>
      <c r="S95" s="60"/>
      <c r="T95" s="60"/>
      <c r="U95" s="60"/>
      <c r="V95" s="60"/>
      <c r="W95" s="60"/>
      <c r="X95" s="60"/>
      <c r="Y95" s="60"/>
    </row>
    <row r="96" spans="2:25" ht="12.75" customHeight="1">
      <c r="B96" s="60"/>
      <c r="C96" s="60"/>
      <c r="D96" s="60"/>
      <c r="E96" s="60"/>
      <c r="F96" s="60"/>
      <c r="G96" s="60"/>
      <c r="H96" s="60"/>
      <c r="I96" s="60"/>
      <c r="J96" s="60"/>
      <c r="K96" s="60"/>
      <c r="L96" s="60"/>
      <c r="M96" s="60"/>
      <c r="N96" s="60"/>
      <c r="O96" s="60"/>
      <c r="P96" s="60"/>
      <c r="Q96" s="60"/>
      <c r="R96" s="60"/>
      <c r="S96" s="60"/>
      <c r="T96" s="60"/>
      <c r="U96" s="60"/>
      <c r="V96" s="60"/>
      <c r="W96" s="60"/>
      <c r="X96" s="60"/>
      <c r="Y96" s="60"/>
    </row>
    <row r="97" spans="2:25" ht="12.75" customHeight="1">
      <c r="B97" s="60"/>
      <c r="C97" s="60"/>
      <c r="D97" s="60"/>
      <c r="E97" s="60"/>
      <c r="F97" s="60"/>
      <c r="G97" s="60"/>
      <c r="H97" s="60"/>
      <c r="I97" s="60"/>
      <c r="J97" s="60"/>
      <c r="K97" s="60"/>
      <c r="L97" s="60"/>
      <c r="M97" s="60"/>
      <c r="N97" s="60"/>
      <c r="O97" s="60"/>
      <c r="P97" s="60"/>
      <c r="Q97" s="60"/>
      <c r="R97" s="60"/>
      <c r="S97" s="60"/>
      <c r="T97" s="60"/>
      <c r="U97" s="60"/>
      <c r="V97" s="60"/>
      <c r="W97" s="60"/>
      <c r="X97" s="60"/>
      <c r="Y97" s="60"/>
    </row>
    <row r="98" spans="2:25" ht="12.75" customHeight="1">
      <c r="B98" s="60"/>
      <c r="C98" s="60"/>
      <c r="D98" s="60"/>
      <c r="E98" s="60"/>
      <c r="F98" s="60"/>
      <c r="G98" s="60"/>
      <c r="H98" s="60"/>
      <c r="I98" s="60"/>
      <c r="J98" s="60"/>
      <c r="K98" s="60"/>
      <c r="L98" s="60"/>
      <c r="M98" s="60"/>
      <c r="N98" s="60"/>
      <c r="O98" s="60"/>
      <c r="P98" s="60"/>
      <c r="Q98" s="60"/>
      <c r="R98" s="60"/>
      <c r="S98" s="60"/>
      <c r="T98" s="60"/>
      <c r="U98" s="60"/>
      <c r="V98" s="60"/>
      <c r="W98" s="60"/>
      <c r="X98" s="60"/>
      <c r="Y98" s="60"/>
    </row>
    <row r="99" spans="2:25" ht="12.75" customHeight="1">
      <c r="B99" s="60"/>
      <c r="C99" s="60"/>
      <c r="D99" s="60"/>
      <c r="E99" s="60"/>
      <c r="F99" s="60"/>
      <c r="G99" s="60"/>
      <c r="H99" s="60"/>
      <c r="I99" s="60"/>
      <c r="J99" s="60"/>
      <c r="K99" s="60"/>
      <c r="L99" s="60"/>
      <c r="M99" s="60"/>
      <c r="N99" s="60"/>
      <c r="O99" s="60"/>
      <c r="P99" s="60"/>
      <c r="Q99" s="60"/>
      <c r="R99" s="60"/>
      <c r="S99" s="60"/>
      <c r="T99" s="60"/>
      <c r="U99" s="60"/>
      <c r="V99" s="60"/>
      <c r="W99" s="60"/>
      <c r="X99" s="60"/>
      <c r="Y99" s="60"/>
    </row>
    <row r="100" spans="2:25" ht="12.75" customHeight="1">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row>
    <row r="101" spans="2:25" ht="12.75" customHeight="1">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row>
    <row r="102" spans="2:25" ht="12.75" customHeight="1">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row>
    <row r="103" spans="2:25" ht="12.75" customHeight="1">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row>
    <row r="104" spans="2:25" ht="12.75" customHeight="1">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row>
    <row r="105" spans="2:25" ht="12.75" customHeight="1">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row>
    <row r="106" spans="2:25" ht="12.75" customHeight="1">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row>
    <row r="107" spans="2:25" ht="12.75" customHeight="1">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row>
    <row r="108" spans="2:25" ht="12.75" customHeight="1">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row>
    <row r="109" spans="2:25" ht="12.75" customHeight="1">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row>
    <row r="110" spans="2:25" ht="12.75" customHeight="1">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row>
    <row r="111" spans="2:25" ht="12.75" customHeight="1">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row>
    <row r="112" spans="2:25" ht="12.75" customHeight="1">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row>
    <row r="113" spans="2:25" ht="12.75" customHeight="1">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row>
    <row r="114" spans="2:25" ht="12.75" customHeight="1">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row>
    <row r="115" spans="2:25" ht="12.75" customHeight="1">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row>
    <row r="116" spans="2:25" ht="12.75" customHeight="1">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row>
    <row r="117" spans="2:25" ht="12.75" customHeight="1">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row>
    <row r="118" spans="2:25" ht="12.75" customHeight="1">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row>
    <row r="119" spans="2:25" ht="12.75" customHeight="1">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row>
    <row r="120" spans="2:25" ht="12.75" customHeight="1">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row>
    <row r="121" spans="2:25" ht="12.75" customHeight="1">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row>
    <row r="122" spans="2:25" ht="12.75" customHeight="1">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row>
    <row r="123" spans="2:25" ht="12.75" customHeight="1">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row>
    <row r="124" spans="2:25" ht="12.75" customHeight="1">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row>
    <row r="125" spans="2:25" ht="12.75" customHeight="1">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row>
    <row r="126" spans="2:25" ht="12.75" customHeight="1">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row>
    <row r="127" spans="2:25" ht="12.75" customHeight="1">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row>
    <row r="128" spans="2:25" ht="12.75" customHeight="1">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row>
    <row r="129" spans="2:25" ht="12.75" customHeight="1">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row>
    <row r="130" spans="2:25" ht="12.75" customHeight="1">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row>
    <row r="131" spans="2:25" ht="12.75" customHeight="1">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row>
    <row r="132" spans="2:25" ht="12.75" customHeight="1">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row>
    <row r="133" spans="2:25" ht="12.75" customHeight="1">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row>
    <row r="134" spans="2:25" ht="12.75" customHeight="1">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row>
    <row r="135" spans="2:25" ht="12.75" customHeight="1">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row>
    <row r="136" spans="2:25" ht="12.75" customHeight="1">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row>
    <row r="137" spans="2:25" ht="12.75" customHeight="1">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row>
    <row r="138" spans="2:25" ht="12.75" customHeight="1">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row>
    <row r="139" spans="2:25" ht="12.75" customHeight="1">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row>
    <row r="140" spans="2:25" ht="12.75" customHeight="1">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row>
    <row r="141" spans="2:25" ht="12.75" customHeight="1">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row>
    <row r="142" spans="2:25" ht="12.75" customHeight="1">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row>
    <row r="143" spans="2:25" ht="12.75" customHeight="1">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row>
    <row r="144" spans="2:25" ht="12.75" customHeight="1">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row>
    <row r="145" spans="2:25" ht="12.75" customHeight="1">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row>
    <row r="146" spans="2:25" ht="12.75" customHeight="1">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row>
    <row r="147" spans="2:25" ht="12.75" customHeight="1">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row>
    <row r="148" spans="2:25" ht="12.75" customHeight="1">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row>
    <row r="149" spans="2:25" ht="12.75" customHeight="1">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row>
    <row r="150" spans="2:25" ht="12.75" customHeight="1">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row>
    <row r="151" spans="2:25" ht="12.75" customHeight="1">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row>
    <row r="152" spans="2:25" ht="12.75" customHeight="1">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row>
    <row r="153" spans="2:25" ht="12.75" customHeight="1">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row>
    <row r="154" spans="2:25" ht="12.75" customHeight="1">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row>
    <row r="155" spans="2:25" ht="12.75" customHeight="1">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row>
    <row r="156" spans="2:25" ht="12.75" customHeight="1">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row>
    <row r="157" spans="2:25" ht="12.75" customHeight="1">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row>
    <row r="158" spans="2:25" ht="12.75" customHeight="1">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row>
    <row r="159" spans="2:25" ht="12.75" customHeight="1">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row>
    <row r="160" spans="2:25" ht="12.75" customHeight="1">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row>
    <row r="161" spans="2:25" ht="12.75" customHeight="1">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row>
    <row r="162" spans="2:25" ht="12.75" customHeight="1">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row>
    <row r="163" spans="2:25" ht="12.75" customHeight="1">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row>
    <row r="164" spans="2:25" ht="12.75" customHeight="1">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row>
    <row r="165" spans="2:25" ht="12.75" customHeight="1">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row>
    <row r="166" spans="2:25" ht="12.75" customHeight="1">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row>
    <row r="167" spans="2:25" ht="12.75" customHeight="1">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row>
    <row r="168" spans="2:25" ht="12.75" customHeight="1">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row>
    <row r="169" spans="2:25" ht="12.75" customHeight="1">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row>
    <row r="170" spans="2:25" ht="12.75" customHeight="1">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row>
    <row r="171" spans="2:25" ht="12.75" customHeight="1">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row>
    <row r="172" spans="2:25" ht="12.75" customHeight="1">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row>
    <row r="173" spans="2:25" ht="12.75" customHeight="1">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row>
    <row r="174" spans="2:25" ht="12.75" customHeight="1">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row>
    <row r="175" spans="2:25" ht="12.75" customHeight="1">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row>
    <row r="176" spans="2:25" ht="12.75" customHeight="1">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row>
    <row r="177" spans="2:25" ht="12.75" customHeight="1">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row>
    <row r="178" spans="2:25" ht="12.75" customHeight="1">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row>
    <row r="179" spans="2:25" ht="12.75" customHeight="1">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row>
    <row r="180" spans="2:25" ht="12.75" customHeight="1">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row>
    <row r="181" spans="2:25" ht="12.75" customHeight="1">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row>
    <row r="182" spans="2:25" ht="12.75" customHeight="1">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row>
    <row r="183" spans="2:25" ht="12.75" customHeight="1">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row>
    <row r="184" spans="2:25" ht="12.75" customHeight="1">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row>
    <row r="185" spans="2:25" ht="12.75" customHeight="1">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row>
    <row r="186" spans="2:25" ht="12.75" customHeight="1">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row>
    <row r="187" spans="2:25" ht="12.75" customHeight="1">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row>
    <row r="188" spans="2:25" ht="12.75" customHeight="1">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row>
    <row r="189" spans="2:25" ht="12.75" customHeight="1">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row>
    <row r="190" spans="2:25" ht="12.75" customHeight="1">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row>
    <row r="191" spans="2:25" ht="12.75" customHeight="1">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row>
    <row r="192" spans="2:25" ht="12.75" customHeight="1">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row>
    <row r="193" spans="2:25" ht="12.75" customHeight="1">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row>
    <row r="194" spans="2:25" ht="12.75" customHeight="1">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row>
    <row r="195" spans="2:25" ht="12.75" customHeight="1">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row>
    <row r="196" spans="2:25" ht="12.75" customHeight="1">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row>
    <row r="197" spans="2:25" ht="12.75" customHeight="1">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row>
    <row r="198" spans="2:25" ht="12.75" customHeight="1">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row>
    <row r="199" spans="2:25" ht="12.75" customHeight="1">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row>
    <row r="200" spans="2:25" ht="12.75" customHeight="1">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row>
    <row r="201" spans="2:25" ht="12.75" customHeight="1">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row>
    <row r="202" spans="2:25" ht="12.75" customHeight="1">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row>
    <row r="203" spans="2:25" ht="12.75" customHeight="1">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row>
    <row r="204" spans="2:25" ht="12.75" customHeight="1">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row>
    <row r="205" spans="2:25" ht="12.75" customHeight="1">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row>
    <row r="206" spans="2:25" ht="12.75" customHeight="1">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row>
    <row r="207" spans="2:25" ht="12.75" customHeight="1">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row>
    <row r="208" spans="2:25" ht="12.75" customHeight="1">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row>
    <row r="209" spans="2:25" ht="12.75" customHeight="1">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row>
    <row r="210" spans="2:25" ht="12.75" customHeight="1">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row>
    <row r="211" spans="2:25" ht="12.75" customHeight="1">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row>
    <row r="212" spans="2:25" ht="12.75" customHeight="1">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row>
    <row r="213" spans="2:25" ht="12.75" customHeight="1">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row>
    <row r="214" spans="2:25" ht="12.75" customHeight="1">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row>
    <row r="215" spans="2:25" ht="12.75" customHeight="1">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row>
    <row r="216" spans="2:25" ht="12.75" customHeight="1">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row>
    <row r="217" spans="2:25" ht="12.75" customHeight="1">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row>
    <row r="218" spans="2:25" ht="12.75" customHeight="1">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row>
    <row r="219" spans="2:25" ht="12.75" customHeight="1">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row>
    <row r="220" spans="2:25" ht="12.75" customHeight="1">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row>
    <row r="221" spans="2:25" ht="12.75" customHeight="1">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row>
    <row r="222" spans="2:25" ht="12.75" customHeight="1">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row>
    <row r="223" spans="2:25" ht="12.75" customHeight="1">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row>
    <row r="224" spans="2:25" ht="12.75" customHeight="1">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row>
    <row r="225" spans="2:25" ht="12.75" customHeight="1">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row>
    <row r="226" spans="2:25" ht="12.75" customHeight="1">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row>
    <row r="227" spans="2:25" ht="12.75" customHeight="1">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row>
    <row r="228" spans="2:25" ht="12.75" customHeight="1">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row>
    <row r="229" spans="2:25" ht="12.75" customHeight="1">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row>
    <row r="230" spans="2:25" ht="12.75" customHeight="1">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row>
    <row r="231" spans="2:25" ht="12.75" customHeight="1">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row>
    <row r="232" spans="2:25" ht="12.75" customHeight="1">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row>
    <row r="233" spans="2:25" ht="12.75" customHeight="1">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row>
    <row r="234" spans="2:25" ht="12.75" customHeight="1">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row>
    <row r="235" spans="2:25" ht="12.75" customHeight="1">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row>
    <row r="236" spans="2:25" ht="12.75" customHeight="1">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row>
    <row r="237" spans="2:25" ht="12.75" customHeight="1">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row>
    <row r="238" spans="2:25" ht="12.75" customHeight="1">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row>
    <row r="239" spans="2:25" ht="12.75" customHeight="1">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row>
    <row r="240" spans="2:25" ht="12.75" customHeight="1">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row>
    <row r="241" spans="2:25" ht="12.75" customHeight="1">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row>
    <row r="242" spans="2:25" ht="12.75" customHeight="1">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row>
    <row r="243" spans="2:25" ht="12.75" customHeight="1">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row>
    <row r="244" spans="2:25" ht="12.75" customHeight="1">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row>
    <row r="245" spans="2:25" ht="12.75" customHeight="1">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row>
    <row r="246" spans="2:25" ht="12.75" customHeight="1">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row>
    <row r="247" spans="2:25" ht="12.75" customHeight="1">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row>
    <row r="248" spans="2:25" ht="12.75" customHeight="1">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row>
    <row r="249" spans="2:25" ht="12.75" customHeight="1">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row>
    <row r="250" spans="2:25" ht="12.75" customHeight="1">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row>
    <row r="251" spans="2:25" ht="12.75" customHeight="1">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row>
    <row r="252" spans="2:25" ht="12.75" customHeight="1">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row>
    <row r="253" spans="2:25" ht="12.75" customHeight="1">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row>
    <row r="254" spans="2:25" ht="12.75" customHeight="1">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row>
    <row r="255" spans="2:25" ht="12.75" customHeight="1">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row>
    <row r="256" spans="2:25" ht="12.75" customHeight="1">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row>
    <row r="257" spans="2:25" ht="12.75" customHeight="1">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row>
    <row r="258" spans="2:25" ht="12.75" customHeight="1">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row>
    <row r="259" spans="2:25" ht="12.75" customHeight="1">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row>
    <row r="260" spans="2:25" ht="12.75" customHeight="1">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row>
    <row r="261" spans="2:25" ht="12.75" customHeight="1">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row>
    <row r="262" spans="2:25" ht="12.75" customHeight="1">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row>
    <row r="263" spans="2:25" ht="12.75" customHeight="1">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row>
    <row r="264" spans="2:25" ht="12.75" customHeight="1">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row>
    <row r="265" spans="2:25" ht="12.75" customHeight="1">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row>
    <row r="266" spans="2:25" ht="12.75" customHeight="1">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row>
    <row r="267" spans="2:25" ht="12.75" customHeight="1">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row>
    <row r="268" spans="2:25" ht="12.75" customHeight="1">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row>
    <row r="269" spans="2:25" ht="12.75" customHeight="1">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row>
    <row r="270" spans="2:25" ht="12.75" customHeight="1">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row>
    <row r="271" spans="2:25" ht="12.75" customHeight="1">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row>
    <row r="272" spans="2:25" ht="12.75" customHeight="1">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row>
    <row r="273" spans="2:25" ht="12.75" customHeight="1">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row>
    <row r="274" spans="2:25" ht="12.75" customHeight="1">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row>
    <row r="275" spans="2:25" ht="12.75" customHeight="1">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row>
    <row r="276" spans="2:25" ht="12.75" customHeight="1">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row>
    <row r="277" spans="2:25" ht="12.75" customHeight="1">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row>
    <row r="278" spans="2:25" ht="12.75" customHeight="1">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row>
    <row r="279" spans="2:25" ht="12.75" customHeight="1">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row>
    <row r="280" spans="2:25" ht="12.75" customHeight="1">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row>
    <row r="281" spans="2:25" ht="12.75" customHeight="1">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row>
    <row r="282" spans="2:25" ht="12.75" customHeight="1">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row>
    <row r="283" spans="2:25" ht="12.75" customHeight="1">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row>
    <row r="284" spans="2:25" ht="12.75" customHeight="1">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row>
    <row r="285" spans="2:25" ht="12.75" customHeight="1">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row>
    <row r="286" spans="2:25" ht="12.75" customHeight="1">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row>
    <row r="287" spans="2:25" ht="12.75" customHeight="1">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row>
    <row r="288" spans="2:25" ht="12.75" customHeight="1">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row>
    <row r="289" spans="2:25" ht="12.75" customHeight="1">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row>
    <row r="290" spans="2:25" ht="12.75" customHeight="1">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row>
    <row r="291" spans="2:25" ht="12.75" customHeight="1">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row>
    <row r="292" spans="2:25" ht="12.75" customHeight="1">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row>
    <row r="293" spans="2:25" ht="12.75" customHeight="1">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row>
    <row r="294" spans="2:25" ht="12.75" customHeight="1">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row>
    <row r="295" spans="2:25" ht="12.75" customHeight="1">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row>
    <row r="296" spans="2:25" ht="12.75" customHeight="1">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row>
    <row r="297" spans="2:25" ht="12.75" customHeight="1">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row>
    <row r="298" spans="2:25" ht="12.75" customHeight="1">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row>
    <row r="299" spans="2:25" ht="12.75" customHeight="1">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row>
    <row r="300" spans="2:25" ht="12.75" customHeight="1">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row>
    <row r="301" spans="2:25" ht="12.75" customHeight="1">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row>
    <row r="302" spans="2:25" ht="12.75" customHeight="1">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row>
    <row r="303" spans="2:25" ht="12.75" customHeight="1">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row>
    <row r="304" spans="2:25" ht="12.75" customHeight="1">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row>
    <row r="305" spans="2:25" ht="12.75" customHeight="1">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row>
    <row r="306" spans="2:25" ht="12.75" customHeight="1">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row>
    <row r="307" spans="2:25" ht="12.75" customHeight="1">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row>
    <row r="308" spans="2:25" ht="12.75" customHeight="1">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row>
    <row r="309" spans="2:25" ht="12.75" customHeight="1">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row>
    <row r="310" spans="2:25" ht="12.75" customHeight="1">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row>
    <row r="311" spans="2:25" ht="12.75" customHeight="1">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row>
    <row r="312" spans="2:25" ht="12.75" customHeight="1">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row>
    <row r="313" spans="2:25" ht="12.75" customHeight="1">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row>
    <row r="314" spans="2:25" ht="12.75" customHeight="1">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row>
    <row r="315" spans="2:25" ht="12.75" customHeight="1">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row>
    <row r="316" spans="2:25" ht="12.75" customHeight="1">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row>
    <row r="317" spans="2:25" ht="12.75" customHeight="1">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row>
    <row r="318" spans="2:25" ht="12.75" customHeight="1">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row>
    <row r="319" spans="2:25" ht="12.75" customHeight="1">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row>
    <row r="320" spans="2:25" ht="12.75" customHeight="1">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row>
    <row r="321" spans="2:25" ht="12.75" customHeight="1">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row>
    <row r="322" spans="2:25" ht="12.75" customHeight="1">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row>
    <row r="323" spans="2:25" ht="12.75" customHeight="1">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row>
    <row r="324" spans="2:25" ht="12.75" customHeight="1">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row>
    <row r="325" spans="2:25" ht="12.75" customHeight="1">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row>
    <row r="326" spans="2:25" ht="12.75" customHeight="1">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row>
    <row r="327" spans="2:25" ht="12.75" customHeight="1">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row>
    <row r="328" spans="2:25" ht="12.75" customHeight="1">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row>
    <row r="329" spans="2:25" ht="12.75" customHeight="1">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row>
    <row r="330" spans="2:25" ht="12.75" customHeight="1">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row>
    <row r="331" spans="2:25" ht="12.75" customHeight="1">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row>
    <row r="332" spans="2:25" ht="12.75" customHeight="1">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row>
    <row r="333" spans="2:25" ht="12.75" customHeight="1">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row>
    <row r="334" spans="2:25" ht="12.75" customHeight="1">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row>
    <row r="335" spans="2:25" ht="12.75" customHeight="1">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row>
    <row r="336" spans="2:25" ht="12.75" customHeight="1">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row>
    <row r="337" spans="2:25" ht="12.75" customHeight="1">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row>
    <row r="338" spans="2:25" ht="12.75" customHeight="1">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row>
    <row r="339" spans="2:25" ht="12.75" customHeight="1">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row>
    <row r="340" spans="2:25" ht="12.75" customHeight="1">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row>
    <row r="341" spans="2:25" ht="12.75" customHeight="1">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row>
    <row r="342" spans="2:25" ht="12.75" customHeight="1">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row>
    <row r="343" spans="2:25" ht="12.75" customHeight="1">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row>
    <row r="344" spans="2:25" ht="12.75" customHeight="1">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row>
    <row r="345" spans="2:25" ht="12.75" customHeight="1">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row>
    <row r="346" spans="2:25" ht="12.75" customHeight="1">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row>
    <row r="347" spans="2:25" ht="12.75" customHeight="1">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row>
    <row r="348" spans="2:25" ht="12.75" customHeight="1">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row>
    <row r="349" spans="2:25" ht="12.75" customHeight="1">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row>
    <row r="350" spans="2:25" ht="12.75" customHeight="1">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row>
    <row r="351" spans="2:25" ht="12.75" customHeight="1">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row>
    <row r="352" spans="2:25" ht="12.75" customHeight="1">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row>
    <row r="353" spans="2:25" ht="12.75" customHeight="1">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row>
    <row r="354" spans="2:25" ht="12.75" customHeight="1">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row>
    <row r="355" spans="2:25" ht="12.75" customHeight="1">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row>
    <row r="356" spans="2:25" ht="12.75" customHeight="1">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row>
    <row r="357" spans="2:25" ht="12.75" customHeight="1">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row>
    <row r="358" spans="2:25" ht="12.75" customHeight="1">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row>
    <row r="359" spans="2:25" ht="12.75" customHeight="1">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row>
    <row r="360" spans="2:25" ht="12.75" customHeight="1">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row>
    <row r="361" spans="2:25" ht="12.75" customHeight="1">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row>
    <row r="362" spans="2:25" ht="12.75" customHeight="1">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row>
    <row r="363" spans="2:25" ht="12.75" customHeight="1">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row>
    <row r="364" spans="2:25" ht="12.75" customHeight="1">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row>
    <row r="365" spans="2:25" ht="12.75" customHeight="1">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row>
    <row r="366" spans="2:25" ht="12.75" customHeight="1">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row>
    <row r="367" spans="2:25" ht="12.75" customHeight="1">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row>
    <row r="368" spans="2:25" ht="12.75" customHeight="1">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row>
    <row r="369" spans="2:25" ht="12.75" customHeight="1">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row>
    <row r="370" spans="2:25" ht="12.75" customHeight="1">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row>
    <row r="371" spans="2:25" ht="12.75" customHeight="1">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row>
    <row r="372" spans="2:25" ht="12.75" customHeight="1">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row>
    <row r="373" spans="2:25" ht="12.75" customHeight="1">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row>
    <row r="374" spans="2:25" ht="12.75" customHeight="1">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row>
    <row r="375" spans="2:25" ht="12.75" customHeight="1">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row>
    <row r="376" spans="2:25" ht="12.75" customHeight="1">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row>
    <row r="377" spans="2:25" ht="12.75" customHeight="1">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row>
    <row r="378" spans="2:25" ht="12.75" customHeight="1">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row>
    <row r="379" spans="2:25" ht="12.75" customHeight="1">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row>
    <row r="380" spans="2:25" ht="12.75" customHeight="1">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row>
    <row r="381" spans="2:25" ht="12.75" customHeight="1">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row>
    <row r="382" spans="2:25" ht="12.75" customHeight="1">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row>
    <row r="383" spans="2:25" ht="12.75" customHeight="1">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row>
    <row r="384" spans="2:25" ht="12.75" customHeight="1">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row>
    <row r="385" spans="2:25" ht="12.75" customHeight="1">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row>
    <row r="386" spans="2:25" ht="12.75" customHeight="1">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row>
    <row r="387" spans="2:25" ht="12.75" customHeight="1">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row>
    <row r="388" spans="2:25" ht="12.75" customHeight="1">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row>
    <row r="389" spans="2:25" ht="12.75" customHeight="1">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row>
    <row r="390" spans="2:25" ht="12.75" customHeight="1">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row>
    <row r="391" spans="2:25" ht="12.75" customHeight="1">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row>
    <row r="392" spans="2:25" ht="12.75" customHeight="1">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row>
    <row r="393" spans="2:25" ht="12.75" customHeight="1">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row>
    <row r="394" spans="2:25" ht="12.75" customHeight="1">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row>
    <row r="395" spans="2:25" ht="12.75" customHeight="1">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row>
    <row r="396" spans="2:25" ht="12.75" customHeight="1">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row>
    <row r="397" spans="2:25" ht="12.75" customHeight="1">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row>
    <row r="398" spans="2:25" ht="12.75" customHeight="1">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row>
    <row r="399" spans="2:25" ht="12.75" customHeight="1">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row>
    <row r="400" spans="2:25" ht="12.75" customHeight="1">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row>
    <row r="401" spans="2:25" ht="12.75" customHeight="1">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row>
    <row r="402" spans="2:25" ht="12.75" customHeight="1">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row>
    <row r="403" spans="2:25" ht="12.75" customHeight="1">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row>
    <row r="404" spans="2:25" ht="12.75" customHeight="1">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row>
    <row r="405" spans="2:25" ht="12.75" customHeight="1">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row>
    <row r="406" spans="2:25" ht="12.75" customHeight="1">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row>
    <row r="407" spans="2:25" ht="12.75" customHeight="1">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row>
    <row r="408" spans="2:25" ht="12.75" customHeight="1">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row>
    <row r="409" spans="2:25" ht="12.75" customHeight="1">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row>
    <row r="410" spans="2:25" ht="12.75" customHeight="1">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row>
    <row r="411" spans="2:25" ht="12.75" customHeight="1">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row>
    <row r="412" spans="2:25" ht="12.75" customHeight="1">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row>
    <row r="413" spans="2:25" ht="12.75" customHeight="1">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row>
    <row r="414" spans="2:25" ht="12.75" customHeight="1">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row>
    <row r="415" spans="2:25" ht="12.75" customHeight="1">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row>
    <row r="416" spans="2:25" ht="12.75" customHeight="1">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row>
    <row r="417" spans="2:25" ht="12.75" customHeight="1">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row>
    <row r="418" spans="2:25" ht="12.75" customHeight="1">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row>
    <row r="419" spans="2:25" ht="12.75" customHeight="1">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row>
    <row r="420" spans="2:25" ht="12.75" customHeight="1">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row>
    <row r="421" spans="2:25" ht="12.75" customHeight="1">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row>
    <row r="422" spans="2:25" ht="12.75" customHeight="1">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row>
    <row r="423" spans="2:25" ht="12.75" customHeight="1">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row>
    <row r="424" spans="2:25" ht="12.75" customHeight="1">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row>
    <row r="425" spans="2:25" ht="12.75" customHeight="1">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row>
    <row r="426" spans="2:25" ht="12.75" customHeight="1">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row>
    <row r="427" spans="2:25" ht="12.75" customHeight="1">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row>
    <row r="428" spans="2:25" ht="12.75" customHeight="1">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row>
    <row r="429" spans="2:25" ht="12.75" customHeight="1">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row>
    <row r="430" spans="2:25" ht="12.75" customHeight="1">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row>
    <row r="431" spans="2:25" ht="12.75" customHeight="1">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row>
    <row r="432" spans="2:25" ht="12.75" customHeight="1">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row>
    <row r="433" spans="2:25" ht="12.75" customHeight="1">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row>
    <row r="434" spans="2:25" ht="12.75" customHeight="1">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row>
    <row r="435" spans="2:25" ht="12.75" customHeight="1">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row>
    <row r="436" spans="2:25" ht="12.75" customHeight="1">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row>
    <row r="437" spans="2:25" ht="12.75" customHeight="1">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row>
    <row r="438" spans="2:25" ht="12.75" customHeight="1">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row>
    <row r="439" spans="2:25" ht="12.75" customHeight="1">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row>
    <row r="440" spans="2:25" ht="12.75" customHeight="1">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row>
    <row r="441" spans="2:25" ht="12.75" customHeight="1">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row>
    <row r="442" spans="2:25" ht="12.75" customHeight="1">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row>
    <row r="443" spans="2:25" ht="12.75" customHeight="1">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row>
    <row r="444" spans="2:25" ht="12.75" customHeight="1">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row>
    <row r="445" spans="2:25" ht="12.75" customHeight="1">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row>
    <row r="446" spans="2:25" ht="12.75" customHeight="1">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row>
    <row r="447" spans="2:25" ht="12.75" customHeight="1">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row>
    <row r="448" spans="2:25" ht="12.75" customHeight="1">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row>
    <row r="449" spans="2:25" ht="12.75" customHeight="1">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row>
    <row r="450" spans="2:25" ht="12.75" customHeight="1">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row>
    <row r="451" spans="2:25" ht="12.75" customHeight="1">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row>
    <row r="452" spans="2:25" ht="12.75" customHeight="1">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row>
    <row r="453" spans="2:25" ht="12.75" customHeight="1">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row>
    <row r="454" spans="2:25" ht="12.75" customHeight="1">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row>
    <row r="455" spans="2:25" ht="12.75" customHeight="1">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row>
    <row r="456" spans="2:25" ht="12.75" customHeight="1">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row>
    <row r="457" spans="2:25" ht="12.75" customHeight="1">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row>
    <row r="458" spans="2:25" ht="12.75" customHeight="1">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row>
    <row r="459" spans="2:25" ht="12.75" customHeight="1">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row>
    <row r="460" spans="2:25" ht="12.75" customHeight="1">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row>
    <row r="461" spans="2:25" ht="12.75" customHeight="1">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row>
    <row r="462" spans="2:25" ht="12.75" customHeight="1">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row>
    <row r="463" spans="2:25" ht="12.75" customHeight="1">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row>
    <row r="464" spans="2:25" ht="12.75" customHeight="1">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row>
    <row r="465" spans="2:25" ht="12.75" customHeight="1">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row>
    <row r="466" spans="2:25" ht="12.75" customHeight="1">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row>
    <row r="467" spans="2:25" ht="12.75" customHeight="1">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row>
    <row r="468" spans="2:25" ht="12.75" customHeight="1">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row>
    <row r="469" spans="2:25" ht="12.75" customHeight="1">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row>
    <row r="470" spans="2:25" ht="12.75" customHeight="1">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row>
    <row r="471" spans="2:25" ht="12.75" customHeight="1">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row>
    <row r="472" spans="2:25" ht="12.75" customHeight="1">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row>
    <row r="473" spans="2:25" ht="12.75" customHeight="1">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row>
    <row r="474" spans="2:25" ht="12.75" customHeight="1">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row>
    <row r="475" spans="2:25" ht="12.75" customHeight="1">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row>
    <row r="476" spans="2:25" ht="12.75" customHeight="1">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row>
    <row r="477" spans="2:25" ht="12.75" customHeight="1">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row>
    <row r="478" spans="2:25" ht="12.75" customHeight="1">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row>
    <row r="479" spans="2:25" ht="12.75" customHeight="1">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row>
    <row r="480" spans="2:25" ht="12.75" customHeight="1">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row>
    <row r="481" spans="2:25" ht="12.75" customHeight="1">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row>
    <row r="482" spans="2:25" ht="12.75" customHeight="1">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row>
    <row r="483" spans="2:25" ht="12.75" customHeight="1">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row>
    <row r="484" spans="2:25" ht="12.75" customHeight="1">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row>
    <row r="485" spans="2:25" ht="12.75" customHeight="1">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row>
    <row r="486" spans="2:25" ht="12.75" customHeight="1">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row>
    <row r="487" spans="2:25" ht="12.75" customHeight="1">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row>
    <row r="488" spans="2:25" ht="12.75" customHeight="1">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row>
    <row r="489" spans="2:25" ht="12.75" customHeight="1">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row>
    <row r="490" spans="2:25" ht="12.75" customHeight="1">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row>
    <row r="491" spans="2:25" ht="12.75" customHeight="1">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row>
    <row r="492" spans="2:25" ht="12.75" customHeight="1">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row>
    <row r="493" spans="2:25" ht="12.75" customHeight="1">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row>
    <row r="494" spans="2:25" ht="12.75" customHeight="1">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row>
    <row r="495" spans="2:25" ht="12.75" customHeight="1">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row>
    <row r="496" spans="2:25" ht="12.75" customHeight="1">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row>
    <row r="497" spans="2:25" ht="12.75" customHeight="1">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row>
    <row r="498" spans="2:25" ht="12.75" customHeight="1">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row>
    <row r="499" spans="2:25" ht="12.75" customHeight="1">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row>
    <row r="500" spans="2:25" ht="12.75" customHeight="1">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row>
    <row r="501" spans="2:25" ht="12.75" customHeight="1">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row>
    <row r="502" spans="2:25" ht="12.75" customHeight="1">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row>
    <row r="503" spans="2:25" ht="12.75" customHeight="1">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row>
    <row r="504" spans="2:25" ht="12.75" customHeight="1">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row>
    <row r="505" spans="2:25" ht="12.75" customHeight="1">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row>
    <row r="506" spans="2:25" ht="12.75" customHeight="1">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row>
    <row r="507" spans="2:25" ht="12.75" customHeight="1">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row>
    <row r="508" spans="2:25" ht="12.75" customHeight="1">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row>
    <row r="509" spans="2:25" ht="12.75" customHeight="1">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row>
    <row r="510" spans="2:25" ht="12.75" customHeight="1">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row>
    <row r="511" spans="2:25" ht="12.75" customHeight="1">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row>
    <row r="512" spans="2:25" ht="12.75" customHeight="1">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row>
    <row r="513" spans="2:25" ht="12.75" customHeight="1">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row>
    <row r="514" spans="2:25" ht="12.75" customHeight="1">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row>
    <row r="515" spans="2:25" ht="12.75" customHeight="1">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row>
    <row r="516" spans="2:25" ht="12.75" customHeight="1">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row>
    <row r="517" spans="2:25" ht="12.75" customHeight="1">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row>
    <row r="518" spans="2:25" ht="12.75" customHeight="1">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row>
    <row r="519" spans="2:25" ht="12.75" customHeight="1">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row>
    <row r="520" spans="2:25" ht="12.75" customHeight="1">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row>
    <row r="521" spans="2:25" ht="12.75" customHeight="1">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row>
    <row r="522" spans="2:25" ht="12.75" customHeight="1">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row>
    <row r="523" spans="2:25" ht="12.75" customHeight="1">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row>
    <row r="524" spans="2:25" ht="12.75" customHeight="1">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row>
    <row r="525" spans="2:25" ht="12.75" customHeight="1">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row>
    <row r="526" spans="2:25" ht="12.75" customHeight="1">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row>
    <row r="527" spans="2:25" ht="12.75" customHeight="1">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row>
    <row r="528" spans="2:25" ht="12.75" customHeight="1">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row>
    <row r="529" spans="2:25" ht="12.75" customHeight="1">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row>
    <row r="530" spans="2:25" ht="12.75" customHeight="1">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row>
    <row r="531" spans="2:25" ht="12.75" customHeight="1">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row>
    <row r="532" spans="2:25" ht="12.75" customHeight="1">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row>
    <row r="533" spans="2:25" ht="12.75" customHeight="1">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row>
    <row r="534" spans="2:25" ht="12.75" customHeight="1">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row>
    <row r="535" spans="2:25" ht="12.75" customHeight="1">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row>
    <row r="536" spans="2:25" ht="12.75" customHeight="1">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row>
    <row r="537" spans="2:25" ht="12.75" customHeight="1">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row>
    <row r="538" spans="2:25" ht="12.75" customHeight="1">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row>
    <row r="539" spans="2:25" ht="12.75" customHeight="1">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row>
    <row r="540" spans="2:25" ht="12.75" customHeight="1">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row>
    <row r="541" spans="2:25" ht="12.75" customHeight="1">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row>
    <row r="542" spans="2:25" ht="12.75" customHeight="1">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row>
    <row r="543" spans="2:25" ht="12.75" customHeight="1">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row>
    <row r="544" spans="2:25" ht="12.75" customHeight="1">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row>
    <row r="545" spans="2:25" ht="12.75" customHeight="1">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row>
    <row r="546" spans="2:25" ht="12.75" customHeight="1">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row>
    <row r="547" spans="2:25" ht="12.75" customHeight="1">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row>
    <row r="548" spans="2:25" ht="12.75" customHeight="1">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row>
    <row r="549" spans="2:25" ht="12.75" customHeight="1">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row>
    <row r="550" spans="2:25" ht="12.75" customHeight="1">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row>
    <row r="551" spans="2:25" ht="12.75" customHeight="1">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row>
    <row r="552" spans="2:25" ht="12.75" customHeight="1">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row>
    <row r="553" spans="2:25" ht="12.75" customHeight="1">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row>
    <row r="554" spans="2:25" ht="12.75" customHeight="1">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row>
    <row r="555" spans="2:25" ht="12.75" customHeight="1">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row>
    <row r="556" spans="2:25" ht="12.75" customHeight="1">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row>
    <row r="557" spans="2:25" ht="12.75" customHeight="1">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row>
    <row r="558" spans="2:25" ht="12.75" customHeight="1">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row>
    <row r="559" spans="2:25" ht="12.75" customHeight="1">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row>
    <row r="560" spans="2:25" ht="12.75" customHeight="1">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row>
    <row r="561" spans="2:25" ht="12.75" customHeight="1">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row>
    <row r="562" spans="2:25" ht="12.75" customHeight="1">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row>
    <row r="563" spans="2:25" ht="12.75" customHeight="1">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row>
    <row r="564" spans="2:25" ht="12.75" customHeight="1">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row>
    <row r="565" spans="2:25" ht="12.75" customHeight="1">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row>
    <row r="566" spans="2:25" ht="12.75" customHeight="1">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row>
    <row r="567" spans="2:25" ht="12.75" customHeight="1">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row>
    <row r="568" spans="2:25" ht="12.75" customHeight="1">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row>
    <row r="569" spans="2:25" ht="12.75" customHeight="1">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row>
    <row r="570" spans="2:25" ht="12.75" customHeight="1">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row>
    <row r="571" spans="2:25" ht="12.75" customHeight="1">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row>
    <row r="572" spans="2:25" ht="12.75" customHeight="1">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row>
    <row r="573" spans="2:25" ht="12.75" customHeight="1">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row>
    <row r="574" spans="2:25" ht="12.75" customHeight="1">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row>
    <row r="575" spans="2:25" ht="12.75" customHeight="1">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row>
    <row r="576" spans="2:25" ht="12.75" customHeight="1">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row>
    <row r="577" spans="2:25" ht="12.75" customHeight="1">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row>
    <row r="578" spans="2:25" ht="12.75" customHeight="1">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row>
    <row r="579" spans="2:25" ht="12.75" customHeight="1">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row>
    <row r="580" spans="2:25" ht="12.75" customHeight="1">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row>
    <row r="581" spans="2:25" ht="12.75" customHeight="1">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row>
    <row r="582" spans="2:25" ht="12.75" customHeight="1">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row>
    <row r="583" spans="2:25" ht="12.75" customHeight="1">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row>
    <row r="584" spans="2:25" ht="12.75" customHeight="1">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row>
    <row r="585" spans="2:25" ht="12.75" customHeight="1">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row>
    <row r="586" spans="2:25" ht="12.75" customHeight="1">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row>
    <row r="587" spans="2:25" ht="12.75" customHeight="1">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row>
    <row r="588" spans="2:25" ht="12.75" customHeight="1">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row>
    <row r="589" spans="2:25" ht="12.75" customHeight="1">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row>
    <row r="590" spans="2:25" ht="12.75" customHeight="1">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row>
    <row r="591" spans="2:25" ht="12.75" customHeight="1">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row>
    <row r="592" spans="2:25" ht="12.75" customHeight="1">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row>
    <row r="593" spans="2:25" ht="12.75" customHeight="1">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row>
    <row r="594" spans="2:25" ht="12.75" customHeight="1">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row>
    <row r="595" spans="2:25" ht="12.75" customHeight="1">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row>
    <row r="596" spans="2:25" ht="12.75" customHeight="1">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row>
    <row r="597" spans="2:25" ht="12.75" customHeight="1">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row>
    <row r="598" spans="2:25" ht="12.75" customHeight="1">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row>
    <row r="599" spans="2:25" ht="12.75" customHeight="1">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row>
    <row r="600" spans="2:25" ht="12.75" customHeight="1">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row>
    <row r="601" spans="2:25" ht="12.75" customHeight="1">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row>
    <row r="602" spans="2:25" ht="12.75" customHeight="1">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row>
    <row r="603" spans="2:25" ht="12.75" customHeight="1">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row>
    <row r="604" spans="2:25" ht="12.75" customHeight="1">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row>
    <row r="605" spans="2:25" ht="12.75" customHeight="1">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row>
    <row r="606" spans="2:25" ht="12.75" customHeight="1">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row>
    <row r="607" spans="2:25" ht="12.75" customHeight="1">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row>
    <row r="608" spans="2:25" ht="12.75" customHeight="1">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row>
    <row r="609" spans="2:25" ht="12.75" customHeight="1">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row>
    <row r="610" spans="2:25" ht="12.75" customHeight="1">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row>
    <row r="611" spans="2:25" ht="12.75" customHeight="1">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row>
    <row r="612" spans="2:25" ht="12.75" customHeight="1">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row>
    <row r="613" spans="2:25" ht="12.75" customHeight="1">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row>
    <row r="614" spans="2:25" ht="12.75" customHeight="1">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row>
    <row r="615" spans="2:25" ht="12.75" customHeight="1">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row>
    <row r="616" spans="2:25" ht="12.75" customHeight="1">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row>
    <row r="617" spans="2:25" ht="12.75" customHeight="1">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row>
    <row r="618" spans="2:25" ht="12.75" customHeight="1">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row>
    <row r="619" spans="2:25" ht="12.75" customHeight="1">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row>
    <row r="620" spans="2:25" ht="12.75" customHeight="1">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row>
    <row r="621" spans="2:25" ht="12.75" customHeight="1">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row>
    <row r="622" spans="2:25" ht="12.75" customHeight="1">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row>
    <row r="623" spans="2:25" ht="12.75" customHeight="1">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row>
    <row r="624" spans="2:25" ht="12.75" customHeight="1">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row>
    <row r="625" spans="2:25" ht="12.75" customHeight="1">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row>
    <row r="626" spans="2:25" ht="12.75" customHeight="1">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row>
    <row r="627" spans="2:25" ht="12.75" customHeight="1">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row>
    <row r="628" spans="2:25" ht="12.75" customHeight="1">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row>
    <row r="629" spans="2:25" ht="12.75" customHeight="1">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row>
    <row r="630" spans="2:25" ht="12.75" customHeight="1">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row>
    <row r="631" spans="2:25" ht="12.75" customHeight="1">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row>
    <row r="632" spans="2:25" ht="12.75" customHeight="1">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row>
    <row r="633" spans="2:25" ht="12.75" customHeight="1">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row>
    <row r="634" spans="2:25" ht="12.75" customHeight="1">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row>
    <row r="635" spans="2:25" ht="12.75" customHeight="1">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row>
    <row r="636" spans="2:25" ht="12.75" customHeight="1">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row>
    <row r="637" spans="2:25" ht="12.75" customHeight="1">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row>
    <row r="638" spans="2:25" ht="12.75" customHeight="1">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row>
    <row r="639" spans="2:25" ht="12.75" customHeight="1">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row>
    <row r="640" spans="2:25" ht="12.75" customHeight="1">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row>
    <row r="641" spans="2:25" ht="12.75" customHeight="1">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row>
    <row r="642" spans="2:25" ht="12.75" customHeight="1">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row>
    <row r="643" spans="2:25" ht="12.75" customHeight="1">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row>
    <row r="644" spans="2:25" ht="12.75" customHeight="1">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row>
    <row r="645" spans="2:25" ht="12.75" customHeight="1">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row>
    <row r="646" spans="2:25" ht="12.75" customHeight="1">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row>
    <row r="647" spans="2:25" ht="12.75" customHeight="1">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row>
    <row r="648" spans="2:25" ht="12.75" customHeight="1">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row>
    <row r="649" spans="2:25" ht="12.75" customHeight="1">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row>
    <row r="650" spans="2:25" ht="12.75" customHeight="1">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row>
    <row r="651" spans="2:25" ht="12.75" customHeight="1">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row>
    <row r="652" spans="2:25" ht="12.75" customHeight="1">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row>
    <row r="653" spans="2:25" ht="12.75" customHeight="1">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row>
    <row r="654" spans="2:25" ht="12.75" customHeight="1">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row>
    <row r="655" spans="2:25" ht="12.75" customHeight="1">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row>
    <row r="656" spans="2:25" ht="12.75" customHeight="1">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row>
    <row r="657" spans="2:25" ht="12.75" customHeight="1">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row>
    <row r="658" spans="2:25" ht="12.75" customHeight="1">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row>
    <row r="659" spans="2:25" ht="12.75" customHeight="1">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row>
    <row r="660" spans="2:25" ht="12.75" customHeight="1">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row>
    <row r="661" spans="2:25" ht="12.75" customHeight="1">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row>
    <row r="662" spans="2:25" ht="12.75" customHeight="1">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row>
    <row r="663" spans="2:25" ht="12.75" customHeight="1">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row>
    <row r="664" spans="2:25" ht="12.75" customHeight="1">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row>
    <row r="665" spans="2:25" ht="12.75" customHeight="1">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row>
    <row r="666" spans="2:25" ht="12.75" customHeight="1">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row>
    <row r="667" spans="2:25" ht="12.75" customHeight="1">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row>
    <row r="668" spans="2:25" ht="12.75" customHeight="1">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row>
    <row r="669" spans="2:25" ht="12.75" customHeight="1">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row>
    <row r="670" spans="2:25" ht="12.75" customHeight="1">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row>
    <row r="671" spans="2:25" ht="12.75" customHeight="1">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row>
    <row r="672" spans="2:25" ht="12.75" customHeight="1">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row>
    <row r="673" spans="2:25" ht="12.75" customHeight="1">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row>
    <row r="674" spans="2:25" ht="12.75" customHeight="1">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row>
    <row r="675" spans="2:25" ht="12.75" customHeight="1">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row>
    <row r="676" spans="2:25" ht="12.75" customHeight="1">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row>
    <row r="677" spans="2:25" ht="12.75" customHeight="1">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row>
    <row r="678" spans="2:25" ht="12.75" customHeight="1">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row>
    <row r="679" spans="2:25" ht="12.75" customHeight="1">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row>
    <row r="680" spans="2:25" ht="12.75" customHeight="1">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row>
    <row r="681" spans="2:25" ht="12.75" customHeight="1">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row>
    <row r="682" spans="2:25" ht="12.75" customHeight="1">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row>
    <row r="683" spans="2:25" ht="12.75" customHeight="1">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row>
    <row r="684" spans="2:25" ht="12.75" customHeight="1">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row>
    <row r="685" spans="2:25" ht="12.75" customHeight="1">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row>
    <row r="686" spans="2:25" ht="12.75" customHeight="1">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row>
    <row r="687" spans="2:25" ht="12.75" customHeight="1">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row>
    <row r="688" spans="2:25" ht="12.75" customHeight="1">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row>
    <row r="689" spans="2:25" ht="12.75" customHeight="1">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row>
    <row r="690" spans="2:25" ht="12.75" customHeight="1">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row>
    <row r="691" spans="2:25" ht="12.75" customHeight="1">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row>
    <row r="692" spans="2:25" ht="12.75" customHeight="1">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row>
    <row r="693" spans="2:25" ht="12.75" customHeight="1">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row>
    <row r="694" spans="2:25" ht="12.75" customHeight="1">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row>
    <row r="695" spans="2:25" ht="12.75" customHeight="1">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row>
    <row r="696" spans="2:25" ht="12.75" customHeight="1">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row>
    <row r="697" spans="2:25" ht="12.75" customHeight="1">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row>
    <row r="698" spans="2:25" ht="12.75" customHeight="1">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row>
    <row r="699" spans="2:25" ht="12.75" customHeight="1">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row>
    <row r="700" spans="2:25" ht="12.75" customHeight="1">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row>
    <row r="701" spans="2:25" ht="12.75" customHeight="1">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row>
    <row r="702" spans="2:25" ht="12.75" customHeight="1">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row>
    <row r="703" spans="2:25" ht="12.75" customHeight="1">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row>
    <row r="704" spans="2:25" ht="12.75" customHeight="1">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row>
    <row r="705" spans="2:25" ht="12.75" customHeight="1">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row>
    <row r="706" spans="2:25" ht="12.75" customHeight="1">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row>
    <row r="707" spans="2:25" ht="12.75" customHeight="1">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row>
    <row r="708" spans="2:25" ht="12.75" customHeight="1">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row>
    <row r="709" spans="2:25" ht="12.75" customHeight="1">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row>
    <row r="710" spans="2:25" ht="12.75" customHeight="1">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row>
    <row r="711" spans="2:25" ht="12.75" customHeight="1">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row>
    <row r="712" spans="2:25" ht="12.75" customHeight="1">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row>
    <row r="713" spans="2:25" ht="12.75" customHeight="1">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row>
    <row r="714" spans="2:25" ht="12.75" customHeight="1">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row>
    <row r="715" spans="2:25" ht="12.75" customHeight="1">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row>
    <row r="716" spans="2:25" ht="12.75" customHeight="1">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row>
    <row r="717" spans="2:25" ht="12.75" customHeight="1">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row>
    <row r="718" spans="2:25" ht="12.75" customHeight="1">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row>
    <row r="719" spans="2:25" ht="12.75" customHeight="1">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row>
    <row r="720" spans="2:25" ht="12.75" customHeight="1">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row>
    <row r="721" spans="2:25" ht="12.75" customHeight="1">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row>
    <row r="722" spans="2:25" ht="12.75" customHeight="1">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row>
    <row r="723" spans="2:25" ht="12.75" customHeight="1">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row>
    <row r="724" spans="2:25" ht="12.75" customHeight="1">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row>
    <row r="725" spans="2:25" ht="12.75" customHeight="1">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row>
    <row r="726" spans="2:25" ht="12.75" customHeight="1">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row>
    <row r="727" spans="2:25" ht="12.75" customHeight="1">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row>
    <row r="728" spans="2:25" ht="12.75" customHeight="1">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row>
    <row r="729" spans="2:25" ht="12.75" customHeight="1">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row>
    <row r="730" spans="2:25" ht="12.75" customHeight="1">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row>
    <row r="731" spans="2:25" ht="12.75" customHeight="1">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row>
    <row r="732" spans="2:25" ht="12.75" customHeight="1">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row>
    <row r="733" spans="2:25" ht="12.75" customHeight="1">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row>
    <row r="734" spans="2:25" ht="12.75" customHeight="1">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row>
    <row r="735" spans="2:25" ht="12.75" customHeight="1">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row>
    <row r="736" spans="2:25" ht="12.75" customHeight="1">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row>
    <row r="737" spans="2:25" ht="12.75" customHeight="1">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row>
    <row r="738" spans="2:25" ht="12.75" customHeight="1">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row>
    <row r="739" spans="2:25" ht="12.75" customHeight="1">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row>
    <row r="740" spans="2:25" ht="12.75" customHeight="1">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row>
    <row r="741" spans="2:25" ht="12.75" customHeight="1">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row>
    <row r="742" spans="2:25" ht="12.75" customHeight="1">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row>
    <row r="743" spans="2:25" ht="12.75" customHeight="1">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row>
    <row r="744" spans="2:25" ht="12.75" customHeight="1">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row>
    <row r="745" spans="2:25" ht="12.75" customHeight="1">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row>
    <row r="746" spans="2:25" ht="12.75" customHeight="1">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row>
    <row r="747" spans="2:25" ht="12.75" customHeight="1">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row>
    <row r="748" spans="2:25" ht="12.75" customHeight="1">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row>
    <row r="749" spans="2:25" ht="12.75" customHeight="1">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row>
    <row r="750" spans="2:25" ht="12.75" customHeight="1">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row>
    <row r="751" spans="2:25" ht="12.75" customHeight="1">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row>
    <row r="752" spans="2:25" ht="12.75" customHeight="1">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row>
    <row r="753" spans="2:25" ht="12.75" customHeight="1">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row>
    <row r="754" spans="2:25" ht="12.75" customHeight="1">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row>
    <row r="755" spans="2:25" ht="12.75" customHeight="1">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row>
    <row r="756" spans="2:25" ht="12.75" customHeight="1">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row>
    <row r="757" spans="2:25" ht="12.75" customHeight="1">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row>
    <row r="758" spans="2:25" ht="12.75" customHeight="1">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row>
    <row r="759" spans="2:25" ht="12.75" customHeight="1">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row>
    <row r="760" spans="2:25" ht="12.75" customHeight="1">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row>
    <row r="761" spans="2:25" ht="12.75" customHeight="1">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row>
    <row r="762" spans="2:25" ht="12.75" customHeight="1">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row>
    <row r="763" spans="2:25" ht="12.75" customHeight="1">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row>
    <row r="764" spans="2:25" ht="12.75" customHeight="1">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row>
    <row r="765" spans="2:25" ht="12.75" customHeight="1">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row>
    <row r="766" spans="2:25" ht="12.75" customHeight="1">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row>
    <row r="767" spans="2:25" ht="12.75" customHeight="1">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row>
    <row r="768" spans="2:25" ht="12.75" customHeight="1">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row>
    <row r="769" spans="2:25" ht="12.75" customHeight="1">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row>
    <row r="770" spans="2:25" ht="12.75" customHeight="1">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row>
    <row r="771" spans="2:25" ht="12.75" customHeight="1">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row>
    <row r="772" spans="2:25" ht="12.75" customHeight="1">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row>
    <row r="773" spans="2:25" ht="12.75" customHeight="1">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row>
    <row r="774" spans="2:25" ht="12.75" customHeight="1">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row>
    <row r="775" spans="2:25" ht="12.75" customHeight="1">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row>
    <row r="776" spans="2:25" ht="12.75" customHeight="1">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row>
    <row r="777" spans="2:25" ht="12.75" customHeight="1">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row>
    <row r="778" spans="2:25" ht="12.75" customHeight="1">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row>
    <row r="779" spans="2:25" ht="12.75" customHeight="1">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row>
    <row r="780" spans="2:25" ht="12.75" customHeight="1">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row>
    <row r="781" spans="2:25" ht="12.75" customHeight="1">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row>
    <row r="782" spans="2:25" ht="12.75" customHeight="1">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row>
    <row r="783" spans="2:25" ht="12.75" customHeight="1">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row>
    <row r="784" spans="2:25" ht="12.75" customHeight="1">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row>
    <row r="785" spans="2:25" ht="12.75" customHeight="1">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row>
    <row r="786" spans="2:25" ht="12.75" customHeight="1">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row>
    <row r="787" spans="2:25" ht="12.75" customHeight="1">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row>
    <row r="788" spans="2:25" ht="12.75" customHeight="1">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row>
    <row r="789" spans="2:25" ht="12.75" customHeight="1">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row>
    <row r="790" spans="2:25" ht="12.75" customHeight="1">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row>
    <row r="791" spans="2:25" ht="12.75" customHeight="1">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row>
    <row r="792" spans="2:25" ht="12.75" customHeight="1">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row>
    <row r="793" spans="2:25" ht="12.75" customHeight="1">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row>
    <row r="794" spans="2:25" ht="12.75" customHeight="1">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row>
    <row r="795" spans="2:25" ht="12.75" customHeight="1">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row>
    <row r="796" spans="2:25" ht="12.75" customHeight="1">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row>
    <row r="797" spans="2:25" ht="12.75" customHeight="1">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row>
    <row r="798" spans="2:25" ht="12.75" customHeight="1">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row>
    <row r="799" spans="2:25" ht="12.75" customHeight="1">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row>
    <row r="800" spans="2:25" ht="12.75" customHeight="1">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row>
    <row r="801" spans="2:25" ht="12.75" customHeight="1">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row>
    <row r="802" spans="2:25" ht="12.75" customHeight="1">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row>
    <row r="803" spans="2:25" ht="12.75" customHeight="1">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row>
    <row r="804" spans="2:25" ht="12.75" customHeight="1">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row>
    <row r="805" spans="2:25" ht="12.75" customHeight="1">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row>
    <row r="806" spans="2:25" ht="12.75" customHeight="1">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row>
    <row r="807" spans="2:25" ht="12.75" customHeight="1">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row>
    <row r="808" spans="2:25" ht="12.75" customHeight="1">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row>
    <row r="809" spans="2:25" ht="12.75" customHeight="1">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row>
    <row r="810" spans="2:25" ht="12.75" customHeight="1">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row>
    <row r="811" spans="2:25" ht="12.75" customHeight="1">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row>
    <row r="812" spans="2:25" ht="12.75" customHeight="1">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row>
    <row r="813" spans="2:25" ht="12.75" customHeight="1">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row>
    <row r="814" spans="2:25" ht="12.75" customHeight="1">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row>
    <row r="815" spans="2:25" ht="12.75" customHeight="1">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row>
    <row r="816" spans="2:25" ht="12.75" customHeight="1">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row>
    <row r="817" spans="2:25" ht="12.75" customHeight="1">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row>
    <row r="818" spans="2:25" ht="12.75" customHeight="1">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row>
    <row r="819" spans="2:25" ht="12.75" customHeight="1">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row>
    <row r="820" spans="2:25" ht="12.75" customHeight="1">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row>
    <row r="821" spans="2:25" ht="12.75" customHeight="1">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row>
    <row r="822" spans="2:25" ht="12.75" customHeight="1">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row>
    <row r="823" spans="2:25" ht="12.75" customHeight="1">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row>
    <row r="824" spans="2:25" ht="12.75" customHeight="1">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row>
    <row r="825" spans="2:25" ht="12.75" customHeight="1">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row>
    <row r="826" spans="2:25" ht="12.75" customHeight="1">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row>
    <row r="827" spans="2:25" ht="12.75" customHeight="1">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row>
    <row r="828" spans="2:25" ht="12.75" customHeight="1">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row>
    <row r="829" spans="2:25" ht="12.75" customHeight="1">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row>
    <row r="830" spans="2:25" ht="12.75" customHeight="1">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row>
    <row r="831" spans="2:25" ht="12.75" customHeight="1">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row>
    <row r="832" spans="2:25" ht="12.75" customHeight="1">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row>
    <row r="833" spans="2:25" ht="12.75" customHeight="1">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row>
    <row r="834" spans="2:25" ht="12.75" customHeight="1">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row>
    <row r="835" spans="2:25" ht="12.75" customHeight="1">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row>
    <row r="836" spans="2:25" ht="12.75" customHeight="1">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row>
    <row r="837" spans="2:25" ht="12.75" customHeight="1">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row>
    <row r="838" spans="2:25" ht="12.75" customHeight="1">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row>
    <row r="839" spans="2:25" ht="12.75" customHeight="1">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row>
    <row r="840" spans="2:25" ht="12.75" customHeight="1">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row>
    <row r="841" spans="2:25" ht="12.75" customHeight="1">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row>
    <row r="842" spans="2:25" ht="12.75" customHeight="1">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row>
    <row r="843" spans="2:25" ht="12.75" customHeight="1">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row>
    <row r="844" spans="2:25" ht="12.75" customHeight="1">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row>
    <row r="845" spans="2:25" ht="12.75" customHeight="1">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row>
    <row r="846" spans="2:25" ht="12.75" customHeight="1">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row>
    <row r="847" spans="2:25" ht="12.75" customHeight="1">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row>
    <row r="848" spans="2:25" ht="12.75" customHeight="1">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row>
    <row r="849" spans="2:25" ht="12.75" customHeight="1">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row>
    <row r="850" spans="2:25" ht="12.75" customHeight="1">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row>
    <row r="851" spans="2:25" ht="12.75" customHeight="1">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row>
    <row r="852" spans="2:25" ht="12.75" customHeight="1">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row>
    <row r="853" spans="2:25" ht="12.75" customHeight="1">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row>
    <row r="854" spans="2:25" ht="12.75" customHeight="1">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row>
    <row r="855" spans="2:25" ht="12.75" customHeight="1">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row>
    <row r="856" spans="2:25" ht="12.75" customHeight="1">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row>
    <row r="857" spans="2:25" ht="12.75" customHeight="1">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row>
    <row r="858" spans="2:25" ht="12.75" customHeight="1">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row>
    <row r="859" spans="2:25" ht="12.75" customHeight="1">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row>
    <row r="860" spans="2:25" ht="12.75" customHeight="1">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row>
    <row r="861" spans="2:25" ht="12.75" customHeight="1">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row>
    <row r="862" spans="2:25" ht="12.75" customHeight="1">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row>
    <row r="863" spans="2:25" ht="12.75" customHeight="1">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row>
    <row r="864" spans="2:25" ht="12.75" customHeight="1">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row>
    <row r="865" spans="2:25" ht="12.75" customHeight="1">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row>
    <row r="866" spans="2:25" ht="12.75" customHeight="1">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row>
    <row r="867" spans="2:25" ht="12.75" customHeight="1">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row>
    <row r="868" spans="2:25" ht="12.75" customHeight="1">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row>
    <row r="869" spans="2:25" ht="12.75" customHeight="1">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row>
    <row r="870" spans="2:25" ht="12.75" customHeight="1">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row>
    <row r="871" spans="2:25" ht="12.75" customHeight="1">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row>
    <row r="872" spans="2:25" ht="12.75" customHeight="1">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row>
    <row r="873" spans="2:25" ht="12.75" customHeight="1">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row>
    <row r="874" spans="2:25" ht="12.75" customHeight="1">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row>
    <row r="875" spans="2:25" ht="12.75" customHeight="1">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row>
    <row r="876" spans="2:25" ht="12.75" customHeight="1">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row>
    <row r="877" spans="2:25" ht="12.75" customHeight="1">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row>
    <row r="878" spans="2:25" ht="12.75" customHeight="1">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row>
    <row r="879" spans="2:25" ht="12.75" customHeight="1">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row>
    <row r="880" spans="2:25" ht="12.75" customHeight="1">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row>
    <row r="881" spans="2:25" ht="12.75" customHeight="1">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row>
    <row r="882" spans="2:25" ht="12.75" customHeight="1">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row>
    <row r="883" spans="2:25" ht="12.75" customHeight="1">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row>
    <row r="884" spans="2:25" ht="12.75" customHeight="1">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row>
    <row r="885" spans="2:25" ht="12.75" customHeight="1">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row>
    <row r="886" spans="2:25" ht="12.75" customHeight="1">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row>
    <row r="887" spans="2:25" ht="12.75" customHeight="1">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row>
    <row r="888" spans="2:25" ht="12.75" customHeight="1">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row>
    <row r="889" spans="2:25" ht="12.75" customHeight="1">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row>
    <row r="890" spans="2:25" ht="12.75" customHeight="1">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row>
    <row r="891" spans="2:25" ht="12.75" customHeight="1">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row>
    <row r="892" spans="2:25" ht="12.75" customHeight="1">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row>
    <row r="893" spans="2:25" ht="12.75" customHeight="1">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row>
    <row r="894" spans="2:25" ht="12.75" customHeight="1">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row>
    <row r="895" spans="2:25" ht="12.75" customHeight="1">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row>
    <row r="896" spans="2:25" ht="12.75" customHeight="1">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row>
    <row r="897" spans="2:25" ht="12.75" customHeight="1">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row>
    <row r="898" spans="2:25" ht="12.75" customHeight="1">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row>
    <row r="899" spans="2:25" ht="12.75" customHeight="1">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row>
    <row r="900" spans="2:25" ht="12.75" customHeight="1">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row>
    <row r="901" spans="2:25" ht="12.75" customHeight="1">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row>
    <row r="902" spans="2:25" ht="12.75" customHeight="1">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row>
    <row r="903" spans="2:25" ht="12.75" customHeight="1">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row>
    <row r="904" spans="2:25" ht="12.75" customHeight="1">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row>
    <row r="905" spans="2:25" ht="12.75" customHeight="1">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row>
    <row r="906" spans="2:25" ht="12.75" customHeight="1">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row>
    <row r="907" spans="2:25" ht="12.75" customHeight="1">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row>
    <row r="908" spans="2:25" ht="12.75" customHeight="1">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row>
    <row r="909" spans="2:25" ht="12.75" customHeight="1">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row>
    <row r="910" spans="2:25" ht="12.75" customHeight="1">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row>
    <row r="911" spans="2:25" ht="12.75" customHeight="1">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row>
    <row r="912" spans="2:25" ht="12.75" customHeight="1">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row>
    <row r="913" spans="2:25" ht="12.75" customHeight="1">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row>
    <row r="914" spans="2:25" ht="12.75" customHeight="1">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row>
    <row r="915" spans="2:25" ht="12.75" customHeight="1">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row>
    <row r="916" spans="2:25" ht="12.75" customHeight="1">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row>
    <row r="917" spans="2:25" ht="12.75" customHeight="1">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row>
    <row r="918" spans="2:25" ht="12.75" customHeight="1">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row>
    <row r="919" spans="2:25" ht="12.75" customHeight="1">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row>
    <row r="920" spans="2:25" ht="12.75" customHeight="1">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row>
    <row r="921" spans="2:25" ht="12.75" customHeight="1">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row>
    <row r="922" spans="2:25" ht="12.75" customHeight="1">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row>
    <row r="923" spans="2:25" ht="12.75" customHeight="1">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row>
    <row r="924" spans="2:25" ht="12.75" customHeight="1">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row>
    <row r="925" spans="2:25" ht="12.75" customHeight="1">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row>
    <row r="926" spans="2:25" ht="12.75" customHeight="1">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row>
    <row r="927" spans="2:25" ht="12.75" customHeight="1">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row>
    <row r="928" spans="2:25" ht="12.75" customHeight="1">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row>
    <row r="929" spans="2:25" ht="12.75" customHeight="1">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row>
    <row r="930" spans="2:25" ht="12.75" customHeight="1">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row>
    <row r="931" spans="2:25" ht="12.75" customHeight="1">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row>
    <row r="932" spans="2:25" ht="12.75" customHeight="1">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row>
    <row r="933" spans="2:25" ht="12.75" customHeight="1">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row>
    <row r="934" spans="2:25" ht="12.75" customHeight="1">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row>
    <row r="935" spans="2:25" ht="12.75" customHeight="1">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row>
    <row r="936" spans="2:25" ht="12.75" customHeight="1">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row>
    <row r="937" spans="2:25" ht="12.75" customHeight="1">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row>
    <row r="938" spans="2:25" ht="12.75" customHeight="1">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row>
    <row r="939" spans="2:25" ht="12.75" customHeight="1">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row>
    <row r="940" spans="2:25" ht="12.75" customHeight="1">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row>
    <row r="941" spans="2:25" ht="12.75" customHeight="1">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row>
    <row r="942" spans="2:25" ht="12.75" customHeight="1">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row>
    <row r="943" spans="2:25" ht="12.75" customHeight="1">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row>
    <row r="944" spans="2:25" ht="12.75" customHeight="1">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row>
    <row r="945" spans="2:25" ht="12.75" customHeight="1">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row>
    <row r="946" spans="2:25" ht="12.75" customHeight="1">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row>
    <row r="947" spans="2:25" ht="12.75" customHeight="1">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row>
    <row r="948" spans="2:25" ht="12.75" customHeight="1">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row>
    <row r="949" spans="2:25" ht="12.75" customHeight="1">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row>
    <row r="950" spans="2:25" ht="12.75" customHeight="1">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row>
    <row r="951" spans="2:25" ht="12.75" customHeight="1">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row>
    <row r="952" spans="2:25" ht="12.75" customHeight="1">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row>
    <row r="953" spans="2:25" ht="12.75" customHeight="1">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row>
    <row r="954" spans="2:25" ht="12.75" customHeight="1">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row>
    <row r="955" spans="2:25" ht="12.75" customHeight="1">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row>
    <row r="956" spans="2:25" ht="12.75" customHeight="1">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row>
    <row r="957" spans="2:25" ht="12.75" customHeight="1">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row>
    <row r="958" spans="2:25" ht="12.75" customHeight="1">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row>
    <row r="959" spans="2:25" ht="12.75" customHeight="1">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row>
    <row r="960" spans="2:25" ht="12.75" customHeight="1">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row>
    <row r="961" spans="2:25" ht="12.75" customHeight="1">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row>
    <row r="962" spans="2:25" ht="12.75" customHeight="1">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row>
    <row r="963" spans="2:25" ht="12.75" customHeight="1">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row>
    <row r="964" spans="2:25" ht="12.75" customHeight="1">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row>
    <row r="965" spans="2:25" ht="12.75" customHeight="1">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row>
    <row r="966" spans="2:25" ht="12.75" customHeight="1">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row>
    <row r="967" spans="2:25" ht="12.75" customHeight="1">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row>
    <row r="968" spans="2:25" ht="12.75" customHeight="1">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row>
    <row r="969" spans="2:25" ht="12.75" customHeight="1">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row>
    <row r="970" spans="2:25" ht="12.75" customHeight="1">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row>
    <row r="971" spans="2:25" ht="12.75" customHeight="1">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row>
    <row r="972" spans="2:25" ht="12.75" customHeight="1">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row>
    <row r="973" spans="2:25" ht="12.75" customHeight="1">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row>
    <row r="974" spans="2:25" ht="12.75" customHeight="1">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row>
    <row r="975" spans="2:25" ht="12.75" customHeight="1">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row>
    <row r="976" spans="2:25" ht="12.75" customHeight="1">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row>
    <row r="977" spans="2:25" ht="12.75" customHeight="1">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row>
    <row r="978" spans="2:25" ht="12.75" customHeight="1">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row>
    <row r="979" spans="2:25" ht="12.75" customHeight="1">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row>
    <row r="980" spans="2:25" ht="12.75" customHeight="1">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row>
    <row r="981" spans="2:25" ht="12.75" customHeight="1">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row>
    <row r="982" spans="2:25" ht="12.75" customHeight="1">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row>
    <row r="983" spans="2:25" ht="12.75" customHeight="1">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row>
    <row r="984" spans="2:25" ht="12.75" customHeight="1">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row>
    <row r="985" spans="2:25" ht="12.75" customHeight="1">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row>
    <row r="986" spans="2:25" ht="12.75" customHeight="1">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row>
    <row r="987" spans="2:25" ht="12.75" customHeight="1">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row>
    <row r="988" spans="2:25" ht="12.75" customHeight="1">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row>
    <row r="989" spans="2:25" ht="12.75" customHeight="1">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row>
    <row r="990" spans="2:25" ht="12.75" customHeight="1">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row>
    <row r="991" spans="2:25" ht="12.75" customHeight="1">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row>
  </sheetData>
  <sheetProtection/>
  <mergeCells count="5">
    <mergeCell ref="M22:R22"/>
    <mergeCell ref="M23:R23"/>
    <mergeCell ref="M24:R24"/>
    <mergeCell ref="B5:R5"/>
    <mergeCell ref="B6:R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B2:O21"/>
  <sheetViews>
    <sheetView showGridLines="0" zoomScalePageLayoutView="0" workbookViewId="0" topLeftCell="A4">
      <selection activeCell="K12" sqref="K12"/>
    </sheetView>
  </sheetViews>
  <sheetFormatPr defaultColWidth="9.140625" defaultRowHeight="12.75"/>
  <cols>
    <col min="1" max="1" width="3.57421875" style="0" customWidth="1"/>
    <col min="3" max="3" width="10.8515625" style="0" customWidth="1"/>
    <col min="4" max="4" width="33.7109375" style="0" customWidth="1"/>
    <col min="5" max="5" width="7.57421875" style="0" bestFit="1" customWidth="1"/>
    <col min="6" max="15" width="18.00390625" style="26" customWidth="1"/>
  </cols>
  <sheetData>
    <row r="2" spans="2:14" ht="15.75">
      <c r="B2" s="10" t="s">
        <v>611</v>
      </c>
      <c r="D2" s="10"/>
      <c r="F2" s="25"/>
      <c r="G2" s="25"/>
      <c r="H2" s="25"/>
      <c r="I2" s="27"/>
      <c r="J2" s="27"/>
      <c r="K2" s="27"/>
      <c r="L2" s="25" t="s">
        <v>478</v>
      </c>
      <c r="M2" s="27"/>
      <c r="N2" s="27"/>
    </row>
    <row r="3" spans="2:14" ht="15.75">
      <c r="B3" s="10" t="s">
        <v>468</v>
      </c>
      <c r="D3" s="10"/>
      <c r="F3" s="28"/>
      <c r="G3" s="28"/>
      <c r="H3" s="28"/>
      <c r="I3" s="29"/>
      <c r="J3" s="29"/>
      <c r="K3" s="29"/>
      <c r="L3" s="28" t="s">
        <v>822</v>
      </c>
      <c r="M3" s="29"/>
      <c r="N3" s="29"/>
    </row>
    <row r="4" spans="2:14" ht="15.75">
      <c r="B4" s="10" t="s">
        <v>886</v>
      </c>
      <c r="D4" s="10"/>
      <c r="F4" s="28"/>
      <c r="G4" s="28"/>
      <c r="H4" s="28"/>
      <c r="I4" s="29"/>
      <c r="J4" s="29"/>
      <c r="K4" s="29"/>
      <c r="L4" s="28" t="s">
        <v>823</v>
      </c>
      <c r="M4" s="29"/>
      <c r="N4" s="29"/>
    </row>
    <row r="6" spans="2:15" s="2" customFormat="1" ht="20.25">
      <c r="B6" s="158"/>
      <c r="C6" s="243" t="s">
        <v>880</v>
      </c>
      <c r="D6" s="243"/>
      <c r="E6" s="243"/>
      <c r="F6" s="243"/>
      <c r="G6" s="243"/>
      <c r="H6" s="243"/>
      <c r="I6" s="243"/>
      <c r="J6" s="243"/>
      <c r="K6" s="243"/>
      <c r="L6" s="243"/>
      <c r="M6" s="243"/>
      <c r="N6" s="243"/>
      <c r="O6" s="30"/>
    </row>
    <row r="7" spans="2:15" s="2" customFormat="1" ht="15.75">
      <c r="B7" s="24"/>
      <c r="C7" s="244" t="s">
        <v>128</v>
      </c>
      <c r="D7" s="244"/>
      <c r="E7" s="244"/>
      <c r="F7" s="244"/>
      <c r="G7" s="244"/>
      <c r="H7" s="244"/>
      <c r="I7" s="244"/>
      <c r="J7" s="244"/>
      <c r="K7" s="244"/>
      <c r="L7" s="244"/>
      <c r="M7" s="244"/>
      <c r="N7" s="244"/>
      <c r="O7" s="30"/>
    </row>
    <row r="8" spans="2:15" s="3" customFormat="1" ht="15.75">
      <c r="B8" s="246" t="s">
        <v>610</v>
      </c>
      <c r="C8" s="246" t="s">
        <v>129</v>
      </c>
      <c r="D8" s="246" t="s">
        <v>130</v>
      </c>
      <c r="E8" s="246" t="s">
        <v>131</v>
      </c>
      <c r="F8" s="245" t="s">
        <v>132</v>
      </c>
      <c r="G8" s="245"/>
      <c r="H8" s="245" t="s">
        <v>133</v>
      </c>
      <c r="I8" s="245"/>
      <c r="J8" s="245" t="s">
        <v>134</v>
      </c>
      <c r="K8" s="245"/>
      <c r="L8" s="245" t="s">
        <v>135</v>
      </c>
      <c r="M8" s="245"/>
      <c r="N8" s="245"/>
      <c r="O8" s="35"/>
    </row>
    <row r="9" spans="2:15" s="3" customFormat="1" ht="15.75">
      <c r="B9" s="246"/>
      <c r="C9" s="246"/>
      <c r="D9" s="246"/>
      <c r="E9" s="246"/>
      <c r="F9" s="34" t="s">
        <v>136</v>
      </c>
      <c r="G9" s="34" t="s">
        <v>137</v>
      </c>
      <c r="H9" s="34" t="s">
        <v>136</v>
      </c>
      <c r="I9" s="34" t="s">
        <v>137</v>
      </c>
      <c r="J9" s="34" t="s">
        <v>136</v>
      </c>
      <c r="K9" s="34" t="s">
        <v>137</v>
      </c>
      <c r="L9" s="34" t="s">
        <v>136</v>
      </c>
      <c r="M9" s="34" t="s">
        <v>137</v>
      </c>
      <c r="N9" s="34" t="s">
        <v>138</v>
      </c>
      <c r="O9" s="35"/>
    </row>
    <row r="10" spans="2:15" s="3" customFormat="1" ht="15.75">
      <c r="B10" s="208"/>
      <c r="C10" s="8"/>
      <c r="D10" s="7" t="s">
        <v>104</v>
      </c>
      <c r="E10" s="8"/>
      <c r="F10" s="6"/>
      <c r="G10" s="209">
        <f>SUM(G12:G17)</f>
        <v>737368000</v>
      </c>
      <c r="H10" s="6"/>
      <c r="I10" s="209">
        <f>SUM(I12:I17)</f>
        <v>2756951005</v>
      </c>
      <c r="J10" s="6"/>
      <c r="K10" s="209">
        <f>SUM(K12:K17)</f>
        <v>1271918838</v>
      </c>
      <c r="L10" s="6"/>
      <c r="M10" s="209">
        <f>SUM(M12:M17)</f>
        <v>2222400167</v>
      </c>
      <c r="N10" s="6"/>
      <c r="O10" s="35"/>
    </row>
    <row r="11" spans="2:15" s="3" customFormat="1" ht="15.75">
      <c r="B11" s="9"/>
      <c r="C11" s="9">
        <v>1</v>
      </c>
      <c r="D11" s="9">
        <v>2</v>
      </c>
      <c r="E11" s="9">
        <v>3</v>
      </c>
      <c r="F11" s="9">
        <v>4</v>
      </c>
      <c r="G11" s="9">
        <v>5</v>
      </c>
      <c r="H11" s="9">
        <v>6</v>
      </c>
      <c r="I11" s="9">
        <v>7</v>
      </c>
      <c r="J11" s="9">
        <v>8</v>
      </c>
      <c r="K11" s="9">
        <v>9</v>
      </c>
      <c r="L11" s="9">
        <v>10</v>
      </c>
      <c r="M11" s="9">
        <v>11</v>
      </c>
      <c r="N11" s="9">
        <v>12</v>
      </c>
      <c r="O11" s="35"/>
    </row>
    <row r="12" spans="2:14" ht="15">
      <c r="B12" s="38">
        <v>1</v>
      </c>
      <c r="C12" s="138" t="s">
        <v>375</v>
      </c>
      <c r="D12" s="207" t="str">
        <f aca="true" t="shared" si="0" ref="D12:D17">VLOOKUP($C12,BDMTK,2,0)</f>
        <v>Sợi thun coton thô</v>
      </c>
      <c r="E12" s="207" t="str">
        <f aca="true" t="shared" si="1" ref="E12:E17">VLOOKUP($C12,BDMTK,4,0)</f>
        <v>kg</v>
      </c>
      <c r="F12" s="207">
        <f aca="true" t="shared" si="2" ref="F12:F17">VLOOKUP($C12,BDMTK,5,0)</f>
        <v>11000</v>
      </c>
      <c r="G12" s="207">
        <f aca="true" t="shared" si="3" ref="G12:G17">VLOOKUP($C12,BDMTK,6,0)</f>
        <v>212300000</v>
      </c>
      <c r="H12" s="32">
        <f>SUMIF('CHUNG TU'!$I$5:$I$331,$C12,'CHUNG TU'!$K$5:$K$331)</f>
        <v>22921</v>
      </c>
      <c r="I12" s="32">
        <f>SUMIF('CHUNG TU'!$I$5:$I$331,$C12,'CHUNG TU'!$L$5:$L$331)</f>
        <v>442194325</v>
      </c>
      <c r="J12" s="32">
        <f>SUMIF('CHUNG TU'!$J$5:$J$331,$C12,'CHUNG TU'!$K$5:$K$331)</f>
        <v>26600</v>
      </c>
      <c r="K12" s="32">
        <f>SUMIF('CHUNG TU'!$J$5:$J$331,$C12,'CHUNG TU'!$L$5:$L$331)</f>
        <v>494361000</v>
      </c>
      <c r="L12" s="32">
        <f>F12+H12-J12</f>
        <v>7321</v>
      </c>
      <c r="M12" s="32">
        <f>G12+I12-K12</f>
        <v>160133325</v>
      </c>
      <c r="N12" s="32">
        <f aca="true" t="shared" si="4" ref="N12:N17">_xlfn.IFERROR(M12/L12,0)</f>
        <v>21873.149159950826</v>
      </c>
    </row>
    <row r="13" spans="2:14" ht="15">
      <c r="B13" s="38">
        <v>2</v>
      </c>
      <c r="C13" s="138" t="s">
        <v>376</v>
      </c>
      <c r="D13" s="207" t="str">
        <f t="shared" si="0"/>
        <v>Thuốc nhuộm màu xanh đen C02</v>
      </c>
      <c r="E13" s="207" t="str">
        <f t="shared" si="1"/>
        <v>lít</v>
      </c>
      <c r="F13" s="207">
        <f t="shared" si="2"/>
        <v>50000</v>
      </c>
      <c r="G13" s="207">
        <f t="shared" si="3"/>
        <v>500000000</v>
      </c>
      <c r="H13" s="32">
        <f>SUMIF('CHUNG TU'!$I$5:$I$331,$C13,'CHUNG TU'!$K$5:$K$331)</f>
        <v>121800</v>
      </c>
      <c r="I13" s="32">
        <f>SUMIF('CHUNG TU'!$I$5:$I$331,$C13,'CHUNG TU'!$L$5:$L$331)</f>
        <v>1329900000</v>
      </c>
      <c r="J13" s="32">
        <f>SUMIF('CHUNG TU'!$J$5:$J$331,$C13,'CHUNG TU'!$K$5:$K$331)</f>
        <v>70864</v>
      </c>
      <c r="K13" s="32">
        <f>SUMIF('CHUNG TU'!$J$5:$J$331,$C13,'CHUNG TU'!$L$5:$L$331)</f>
        <v>753827164</v>
      </c>
      <c r="L13" s="32">
        <f aca="true" t="shared" si="5" ref="L13:M17">F13+H13-J13</f>
        <v>100936</v>
      </c>
      <c r="M13" s="32">
        <f t="shared" si="5"/>
        <v>1076072836</v>
      </c>
      <c r="N13" s="32">
        <f t="shared" si="4"/>
        <v>10660.941943409685</v>
      </c>
    </row>
    <row r="14" spans="2:14" ht="15">
      <c r="B14" s="38">
        <v>3</v>
      </c>
      <c r="C14" s="138" t="s">
        <v>377</v>
      </c>
      <c r="D14" s="207" t="str">
        <f t="shared" si="0"/>
        <v>Thuốc nhuộm màu vàng B02</v>
      </c>
      <c r="E14" s="207" t="str">
        <f t="shared" si="1"/>
        <v>lít</v>
      </c>
      <c r="F14" s="207">
        <f t="shared" si="2"/>
        <v>500</v>
      </c>
      <c r="G14" s="207">
        <f t="shared" si="3"/>
        <v>3750000</v>
      </c>
      <c r="H14" s="32">
        <f>SUMIF('CHUNG TU'!$I$5:$I$331,$C14,'CHUNG TU'!$K$5:$K$331)</f>
        <v>120000</v>
      </c>
      <c r="I14" s="32">
        <f>SUMIF('CHUNG TU'!$I$5:$I$331,$C14,'CHUNG TU'!$L$5:$L$331)</f>
        <v>960000000</v>
      </c>
      <c r="J14" s="32">
        <f>SUMIF('CHUNG TU'!$J$5:$J$331,$C14,'CHUNG TU'!$K$5:$K$331)</f>
        <v>0</v>
      </c>
      <c r="K14" s="32">
        <f>SUMIF('CHUNG TU'!$J$5:$J$331,$C14,'CHUNG TU'!$L$5:$L$331)</f>
        <v>0</v>
      </c>
      <c r="L14" s="32">
        <f t="shared" si="5"/>
        <v>120500</v>
      </c>
      <c r="M14" s="32">
        <f t="shared" si="5"/>
        <v>963750000</v>
      </c>
      <c r="N14" s="32">
        <f t="shared" si="4"/>
        <v>7997.925311203319</v>
      </c>
    </row>
    <row r="15" spans="2:14" ht="15">
      <c r="B15" s="38">
        <v>4</v>
      </c>
      <c r="C15" s="138" t="s">
        <v>378</v>
      </c>
      <c r="D15" s="207" t="str">
        <f t="shared" si="0"/>
        <v>Nhiên liệu Dầu nhớt Deizel</v>
      </c>
      <c r="E15" s="207" t="str">
        <f t="shared" si="1"/>
        <v>cái</v>
      </c>
      <c r="F15" s="207">
        <f t="shared" si="2"/>
        <v>1000</v>
      </c>
      <c r="G15" s="207">
        <f t="shared" si="3"/>
        <v>16200000</v>
      </c>
      <c r="H15" s="32">
        <f>SUMIF('CHUNG TU'!$I$5:$I$331,$C15,'CHUNG TU'!$K$5:$K$331)</f>
        <v>700</v>
      </c>
      <c r="I15" s="32">
        <f>SUMIF('CHUNG TU'!$I$5:$I$331,$C15,'CHUNG TU'!$L$5:$L$331)</f>
        <v>11630000</v>
      </c>
      <c r="J15" s="32">
        <f>SUMIF('CHUNG TU'!$J$5:$J$331,$C15,'CHUNG TU'!$K$5:$K$331)</f>
        <v>1334</v>
      </c>
      <c r="K15" s="32">
        <f>SUMIF('CHUNG TU'!$J$5:$J$331,$C15,'CHUNG TU'!$L$5:$L$331)</f>
        <v>21838914</v>
      </c>
      <c r="L15" s="32">
        <f t="shared" si="5"/>
        <v>366</v>
      </c>
      <c r="M15" s="32">
        <f t="shared" si="5"/>
        <v>5991086</v>
      </c>
      <c r="N15" s="32">
        <f t="shared" si="4"/>
        <v>16369.08743169399</v>
      </c>
    </row>
    <row r="16" spans="2:14" ht="15">
      <c r="B16" s="38">
        <v>5</v>
      </c>
      <c r="C16" s="138" t="s">
        <v>379</v>
      </c>
      <c r="D16" s="207" t="str">
        <f t="shared" si="0"/>
        <v>Ốc vít, bù loong.</v>
      </c>
      <c r="E16" s="207" t="str">
        <f t="shared" si="1"/>
        <v>kg</v>
      </c>
      <c r="F16" s="207">
        <f t="shared" si="2"/>
        <v>2000</v>
      </c>
      <c r="G16" s="207">
        <f t="shared" si="3"/>
        <v>4200000</v>
      </c>
      <c r="H16" s="32">
        <f>SUMIF('CHUNG TU'!$I$5:$I$331,$C16,'CHUNG TU'!$K$5:$K$331)</f>
        <v>4374</v>
      </c>
      <c r="I16" s="32">
        <f>SUMIF('CHUNG TU'!$I$5:$I$331,$C16,'CHUNG TU'!$L$5:$L$331)</f>
        <v>10526680</v>
      </c>
      <c r="J16" s="32">
        <f>SUMIF('CHUNG TU'!$J$5:$J$331,$C16,'CHUNG TU'!$K$5:$K$331)</f>
        <v>884</v>
      </c>
      <c r="K16" s="32">
        <f>SUMIF('CHUNG TU'!$J$5:$J$331,$C16,'CHUNG TU'!$L$5:$L$331)</f>
        <v>1891760</v>
      </c>
      <c r="L16" s="32">
        <f t="shared" si="5"/>
        <v>5490</v>
      </c>
      <c r="M16" s="32">
        <f t="shared" si="5"/>
        <v>12834920</v>
      </c>
      <c r="N16" s="32">
        <f t="shared" si="4"/>
        <v>2337.872495446266</v>
      </c>
    </row>
    <row r="17" spans="2:14" ht="15">
      <c r="B17" s="38">
        <v>6</v>
      </c>
      <c r="C17" s="138" t="s">
        <v>380</v>
      </c>
      <c r="D17" s="207" t="str">
        <f t="shared" si="0"/>
        <v>Vải phế liệu</v>
      </c>
      <c r="E17" s="207" t="str">
        <f t="shared" si="1"/>
        <v>kg</v>
      </c>
      <c r="F17" s="207">
        <f t="shared" si="2"/>
        <v>51</v>
      </c>
      <c r="G17" s="207">
        <f t="shared" si="3"/>
        <v>918000</v>
      </c>
      <c r="H17" s="32">
        <f>SUMIF('CHUNG TU'!$I$5:$I$331,$C17,'CHUNG TU'!$K$5:$K$331)</f>
        <v>1501</v>
      </c>
      <c r="I17" s="32">
        <f>SUMIF('CHUNG TU'!$I$5:$I$331,$C17,'CHUNG TU'!$L$5:$L$331)</f>
        <v>2700000</v>
      </c>
      <c r="J17" s="32">
        <f>SUMIF('CHUNG TU'!$J$5:$J$331,$C17,'CHUNG TU'!$K$5:$K$331)</f>
        <v>0</v>
      </c>
      <c r="K17" s="32">
        <f>SUMIF('CHUNG TU'!$J$5:$J$331,$C17,'CHUNG TU'!$L$5:$L$331)</f>
        <v>0</v>
      </c>
      <c r="L17" s="32">
        <f t="shared" si="5"/>
        <v>1552</v>
      </c>
      <c r="M17" s="32">
        <f t="shared" si="5"/>
        <v>3618000</v>
      </c>
      <c r="N17" s="32">
        <f t="shared" si="4"/>
        <v>2331.185567010309</v>
      </c>
    </row>
    <row r="19" spans="3:12" ht="15.75">
      <c r="C19" s="13"/>
      <c r="D19" s="13"/>
      <c r="I19" s="247" t="s">
        <v>477</v>
      </c>
      <c r="J19" s="247"/>
      <c r="K19" s="247"/>
      <c r="L19" s="247"/>
    </row>
    <row r="20" spans="4:12" ht="15.75">
      <c r="D20" s="12" t="s">
        <v>473</v>
      </c>
      <c r="I20" s="247" t="s">
        <v>465</v>
      </c>
      <c r="J20" s="247"/>
      <c r="K20" s="247"/>
      <c r="L20" s="247"/>
    </row>
    <row r="21" spans="4:12" ht="15.75">
      <c r="D21" s="12" t="s">
        <v>466</v>
      </c>
      <c r="I21" s="247" t="s">
        <v>467</v>
      </c>
      <c r="J21" s="247"/>
      <c r="K21" s="247"/>
      <c r="L21" s="247"/>
    </row>
  </sheetData>
  <sheetProtection/>
  <mergeCells count="13">
    <mergeCell ref="B8:B9"/>
    <mergeCell ref="I19:L19"/>
    <mergeCell ref="I20:L20"/>
    <mergeCell ref="I21:L21"/>
    <mergeCell ref="H8:I8"/>
    <mergeCell ref="J8:K8"/>
    <mergeCell ref="C6:N6"/>
    <mergeCell ref="C7:N7"/>
    <mergeCell ref="L8:N8"/>
    <mergeCell ref="C8:C9"/>
    <mergeCell ref="D8:D9"/>
    <mergeCell ref="E8:E9"/>
    <mergeCell ref="F8:G8"/>
  </mergeCells>
  <printOptions/>
  <pageMargins left="0.34" right="0.33" top="1" bottom="1" header="0.5" footer="0.5"/>
  <pageSetup horizontalDpi="1200" verticalDpi="1200" orientation="landscape" r:id="rId1"/>
</worksheet>
</file>

<file path=xl/worksheets/sheet8.xml><?xml version="1.0" encoding="utf-8"?>
<worksheet xmlns="http://schemas.openxmlformats.org/spreadsheetml/2006/main" xmlns:r="http://schemas.openxmlformats.org/officeDocument/2006/relationships">
  <sheetPr>
    <tabColor theme="0"/>
  </sheetPr>
  <dimension ref="B2:Q349"/>
  <sheetViews>
    <sheetView showGridLines="0" zoomScale="145" zoomScaleNormal="145" zoomScalePageLayoutView="0" workbookViewId="0" topLeftCell="H5">
      <selection activeCell="R14" sqref="R14"/>
    </sheetView>
  </sheetViews>
  <sheetFormatPr defaultColWidth="9.140625" defaultRowHeight="12.75"/>
  <cols>
    <col min="1" max="1" width="2.57421875" style="0" customWidth="1"/>
    <col min="5" max="5" width="17.00390625" style="0" customWidth="1"/>
    <col min="6" max="7" width="15.421875" style="0" bestFit="1" customWidth="1"/>
    <col min="8" max="11" width="10.7109375" style="0" bestFit="1" customWidth="1"/>
    <col min="12" max="12" width="13.421875" style="0" bestFit="1" customWidth="1"/>
    <col min="13" max="13" width="14.7109375" style="0" bestFit="1" customWidth="1"/>
    <col min="14" max="14" width="14.28125" style="0" bestFit="1" customWidth="1"/>
    <col min="15" max="15" width="8.8515625" style="0" bestFit="1" customWidth="1"/>
    <col min="16" max="16" width="15.7109375" style="0" bestFit="1" customWidth="1"/>
    <col min="17" max="17" width="7.57421875" style="0" bestFit="1" customWidth="1"/>
  </cols>
  <sheetData>
    <row r="2" spans="2:16" ht="15.75">
      <c r="B2" s="10" t="s">
        <v>611</v>
      </c>
      <c r="C2" s="10"/>
      <c r="D2" s="10"/>
      <c r="E2" s="10"/>
      <c r="F2" s="10"/>
      <c r="G2" s="11"/>
      <c r="H2" s="11"/>
      <c r="I2" s="11"/>
      <c r="M2" s="11"/>
      <c r="N2" s="11"/>
      <c r="O2" s="11" t="s">
        <v>479</v>
      </c>
      <c r="P2" s="11"/>
    </row>
    <row r="3" spans="2:16" ht="15.75">
      <c r="B3" s="10" t="s">
        <v>468</v>
      </c>
      <c r="C3" s="10"/>
      <c r="D3" s="10"/>
      <c r="E3" s="10"/>
      <c r="F3" s="10"/>
      <c r="G3" s="12"/>
      <c r="H3" s="12"/>
      <c r="I3" s="12"/>
      <c r="M3" s="12"/>
      <c r="N3" s="12"/>
      <c r="O3" s="12" t="s">
        <v>822</v>
      </c>
      <c r="P3" s="12"/>
    </row>
    <row r="4" spans="2:16" ht="15.75">
      <c r="B4" s="10" t="s">
        <v>886</v>
      </c>
      <c r="C4" s="10"/>
      <c r="D4" s="10"/>
      <c r="E4" s="10"/>
      <c r="F4" s="10"/>
      <c r="G4" s="12"/>
      <c r="H4" s="12"/>
      <c r="I4" s="12"/>
      <c r="M4" s="12"/>
      <c r="N4" s="12"/>
      <c r="O4" s="12" t="s">
        <v>823</v>
      </c>
      <c r="P4" s="12"/>
    </row>
    <row r="6" spans="2:17" s="2" customFormat="1" ht="20.25">
      <c r="B6" s="248" t="s">
        <v>881</v>
      </c>
      <c r="C6" s="248"/>
      <c r="D6" s="248"/>
      <c r="E6" s="248"/>
      <c r="F6" s="248"/>
      <c r="G6" s="248"/>
      <c r="H6" s="248"/>
      <c r="I6" s="248"/>
      <c r="J6" s="248"/>
      <c r="K6" s="248"/>
      <c r="L6" s="248"/>
      <c r="M6" s="248"/>
      <c r="N6" s="248"/>
      <c r="O6" s="248"/>
      <c r="P6" s="248"/>
      <c r="Q6" s="248"/>
    </row>
    <row r="7" spans="6:8" s="2" customFormat="1" ht="12.75">
      <c r="F7" s="2" t="s">
        <v>120</v>
      </c>
      <c r="H7" s="210" t="s">
        <v>1271</v>
      </c>
    </row>
    <row r="8" s="2" customFormat="1" ht="12.75"/>
    <row r="9" spans="2:17" s="2" customFormat="1" ht="12.75" customHeight="1">
      <c r="B9" s="249" t="s">
        <v>121</v>
      </c>
      <c r="C9" s="252" t="s">
        <v>122</v>
      </c>
      <c r="D9" s="253"/>
      <c r="E9" s="249" t="s">
        <v>108</v>
      </c>
      <c r="F9" s="53" t="s">
        <v>123</v>
      </c>
      <c r="G9" s="256" t="s">
        <v>153</v>
      </c>
      <c r="H9" s="257"/>
      <c r="I9" s="257"/>
      <c r="J9" s="257"/>
      <c r="K9" s="257"/>
      <c r="L9" s="257"/>
      <c r="M9" s="257"/>
      <c r="N9" s="257"/>
      <c r="O9" s="257"/>
      <c r="P9" s="252" t="s">
        <v>155</v>
      </c>
      <c r="Q9" s="253"/>
    </row>
    <row r="10" spans="2:17" s="2" customFormat="1" ht="12.75" customHeight="1">
      <c r="B10" s="250"/>
      <c r="C10" s="254"/>
      <c r="D10" s="255"/>
      <c r="E10" s="250"/>
      <c r="F10" s="55" t="s">
        <v>307</v>
      </c>
      <c r="G10" s="212" t="s">
        <v>82</v>
      </c>
      <c r="H10" s="212" t="s">
        <v>84</v>
      </c>
      <c r="I10" s="212" t="s">
        <v>86</v>
      </c>
      <c r="J10" s="212" t="s">
        <v>88</v>
      </c>
      <c r="K10" s="212" t="s">
        <v>90</v>
      </c>
      <c r="L10" s="212" t="s">
        <v>92</v>
      </c>
      <c r="M10" s="212" t="s">
        <v>94</v>
      </c>
      <c r="N10" s="212" t="s">
        <v>96</v>
      </c>
      <c r="O10" s="258" t="s">
        <v>154</v>
      </c>
      <c r="P10" s="254"/>
      <c r="Q10" s="255"/>
    </row>
    <row r="11" spans="2:17" s="2" customFormat="1" ht="25.5">
      <c r="B11" s="251"/>
      <c r="C11" s="54" t="s">
        <v>124</v>
      </c>
      <c r="D11" s="54" t="s">
        <v>125</v>
      </c>
      <c r="E11" s="251"/>
      <c r="F11" s="56">
        <v>642</v>
      </c>
      <c r="G11" s="211"/>
      <c r="H11" s="211"/>
      <c r="I11" s="211"/>
      <c r="J11" s="211"/>
      <c r="K11" s="211"/>
      <c r="L11" s="211"/>
      <c r="M11" s="211"/>
      <c r="N11" s="211"/>
      <c r="O11" s="259"/>
      <c r="P11" s="54" t="s">
        <v>126</v>
      </c>
      <c r="Q11" s="54" t="s">
        <v>152</v>
      </c>
    </row>
    <row r="12" spans="2:17" s="26" customFormat="1" ht="12.75">
      <c r="B12" s="214"/>
      <c r="C12" s="215"/>
      <c r="D12" s="215"/>
      <c r="E12" s="216" t="s">
        <v>127</v>
      </c>
      <c r="F12" s="217">
        <f>SUM(F14:F340)</f>
        <v>206953567.4722222</v>
      </c>
      <c r="G12" s="217">
        <f aca="true" t="shared" si="0" ref="G12:P12">SUM(G14:G340)</f>
        <v>111510888.8888889</v>
      </c>
      <c r="H12" s="217">
        <f t="shared" si="0"/>
        <v>7596095</v>
      </c>
      <c r="I12" s="217">
        <f t="shared" si="0"/>
        <v>8012500</v>
      </c>
      <c r="J12" s="217">
        <f t="shared" si="0"/>
        <v>7868299.666666667</v>
      </c>
      <c r="K12" s="217">
        <f t="shared" si="0"/>
        <v>1500000</v>
      </c>
      <c r="L12" s="217">
        <f t="shared" si="0"/>
        <v>5500000</v>
      </c>
      <c r="M12" s="217">
        <f t="shared" si="0"/>
        <v>53365783.916666664</v>
      </c>
      <c r="N12" s="217">
        <f t="shared" si="0"/>
        <v>11600000</v>
      </c>
      <c r="O12" s="217"/>
      <c r="P12" s="217">
        <f t="shared" si="0"/>
        <v>206953567.4722222</v>
      </c>
      <c r="Q12" s="215"/>
    </row>
    <row r="13" spans="2:17" ht="12.75">
      <c r="B13" s="4">
        <v>1</v>
      </c>
      <c r="C13" s="5">
        <v>2</v>
      </c>
      <c r="D13" s="5">
        <v>3</v>
      </c>
      <c r="E13" s="5">
        <v>4</v>
      </c>
      <c r="F13" s="5">
        <v>5</v>
      </c>
      <c r="G13" s="5">
        <v>6</v>
      </c>
      <c r="H13" s="5">
        <v>7</v>
      </c>
      <c r="I13" s="5">
        <v>8</v>
      </c>
      <c r="J13" s="5">
        <v>9</v>
      </c>
      <c r="K13" s="5">
        <v>10</v>
      </c>
      <c r="L13" s="5">
        <v>11</v>
      </c>
      <c r="M13" s="5">
        <v>12</v>
      </c>
      <c r="N13" s="5">
        <v>13</v>
      </c>
      <c r="O13" s="5">
        <v>15</v>
      </c>
      <c r="P13" s="5">
        <v>16</v>
      </c>
      <c r="Q13" s="5">
        <v>17</v>
      </c>
    </row>
    <row r="14" spans="2:17" ht="12.75">
      <c r="B14" s="213">
        <f>IF($F14+$P14&lt;&gt;0,'CHUNG TU'!A5,"")</f>
      </c>
      <c r="C14" s="213">
        <f>IF($F14+$P14&lt;&gt;0,IF('CHUNG TU'!B5&lt;&gt;"",'CHUNG TU'!B5,IF('CHUNG TU'!C5&lt;&gt;"",'CHUNG TU'!C5,'CHUNG TU'!D5)),"")</f>
      </c>
      <c r="D14" s="213">
        <f>IF($F14+$P14&lt;&gt;0,'CHUNG TU'!F5,"")</f>
      </c>
      <c r="E14" s="213">
        <f>IF($F14+$P14&lt;&gt;0,'CHUNG TU'!H5,"")</f>
      </c>
      <c r="F14" s="213">
        <f>IF(LEFT('CHUNG TU'!I5,3)='CPSXKD 642_yếu tố'!$H$7,'CHUNG TU'!$L5,0)</f>
        <v>0</v>
      </c>
      <c r="G14" s="213">
        <f>IF(G$10='CHUNG TU'!$I5,'CHUNG TU'!$L5,0)</f>
        <v>0</v>
      </c>
      <c r="H14" s="213">
        <f>IF(H$10='CHUNG TU'!$I5,'CHUNG TU'!$L5,0)</f>
        <v>0</v>
      </c>
      <c r="I14" s="213">
        <f>IF(I$10='CHUNG TU'!$I5,'CHUNG TU'!$L5,0)</f>
        <v>0</v>
      </c>
      <c r="J14" s="213">
        <f>IF(J$10='CHUNG TU'!$I5,'CHUNG TU'!$L5,0)</f>
        <v>0</v>
      </c>
      <c r="K14" s="213">
        <f>IF(K$10='CHUNG TU'!$I5,'CHUNG TU'!$L5,0)</f>
        <v>0</v>
      </c>
      <c r="L14" s="213">
        <f>IF(L$10='CHUNG TU'!$I5,'CHUNG TU'!$L5,0)</f>
        <v>0</v>
      </c>
      <c r="M14" s="213">
        <f>IF(M$10='CHUNG TU'!$I5,'CHUNG TU'!$L5,0)</f>
        <v>0</v>
      </c>
      <c r="N14" s="213">
        <f>IF(N$10='CHUNG TU'!$I5,'CHUNG TU'!$L5,0)</f>
        <v>0</v>
      </c>
      <c r="O14" s="213">
        <f>IF(F14&lt;&gt;0,'CHUNG TU'!J5,"")</f>
      </c>
      <c r="P14" s="213">
        <f>IF(LEFT('CHUNG TU'!J5,3)='CPSXKD 642_yếu tố'!$H$7,'CHUNG TU'!$L5,0)</f>
        <v>0</v>
      </c>
      <c r="Q14" s="213">
        <f>IF(P14&lt;&gt;0,'CHUNG TU'!I5,"")</f>
      </c>
    </row>
    <row r="15" spans="2:17" ht="12.75">
      <c r="B15" s="213">
        <f>IF($F15+$P15&lt;&gt;0,'CHUNG TU'!A6,"")</f>
      </c>
      <c r="C15" s="213">
        <f>IF($F15+$P15&lt;&gt;0,IF('CHUNG TU'!B6&lt;&gt;"",'CHUNG TU'!B6,IF('CHUNG TU'!C6&lt;&gt;"",'CHUNG TU'!C6,'CHUNG TU'!D6)),"")</f>
      </c>
      <c r="D15" s="213">
        <f>IF($F15+$P15&lt;&gt;0,'CHUNG TU'!F6,"")</f>
      </c>
      <c r="E15" s="213">
        <f>IF($F15+$P15&lt;&gt;0,'CHUNG TU'!H6,"")</f>
      </c>
      <c r="F15" s="213">
        <f>IF(LEFT('CHUNG TU'!I6,3)='CPSXKD 642_yếu tố'!$H$7,'CHUNG TU'!$L6,0)</f>
        <v>0</v>
      </c>
      <c r="G15" s="213">
        <f>IF(G$10='CHUNG TU'!$I6,'CHUNG TU'!$L6,0)</f>
        <v>0</v>
      </c>
      <c r="H15" s="213">
        <f>IF(H$10='CHUNG TU'!$I6,'CHUNG TU'!$L6,0)</f>
        <v>0</v>
      </c>
      <c r="I15" s="213">
        <f>IF(I$10='CHUNG TU'!$I6,'CHUNG TU'!$L6,0)</f>
        <v>0</v>
      </c>
      <c r="J15" s="213">
        <f>IF(J$10='CHUNG TU'!$I6,'CHUNG TU'!$L6,0)</f>
        <v>0</v>
      </c>
      <c r="K15" s="213">
        <f>IF(K$10='CHUNG TU'!$I6,'CHUNG TU'!$L6,0)</f>
        <v>0</v>
      </c>
      <c r="L15" s="213">
        <f>IF(L$10='CHUNG TU'!$I6,'CHUNG TU'!$L6,0)</f>
        <v>0</v>
      </c>
      <c r="M15" s="213">
        <f>IF(M$10='CHUNG TU'!$I6,'CHUNG TU'!$L6,0)</f>
        <v>0</v>
      </c>
      <c r="N15" s="213">
        <f>IF(N$10='CHUNG TU'!$I6,'CHUNG TU'!$L6,0)</f>
        <v>0</v>
      </c>
      <c r="O15" s="213">
        <f>IF(F15&lt;&gt;0,'CHUNG TU'!J6,"")</f>
      </c>
      <c r="P15" s="213">
        <f>IF(LEFT('CHUNG TU'!J6,3)='CPSXKD 642_yếu tố'!$H$7,'CHUNG TU'!$L6,0)</f>
        <v>0</v>
      </c>
      <c r="Q15" s="213">
        <f>IF(P15&lt;&gt;0,'CHUNG TU'!I6,"")</f>
      </c>
    </row>
    <row r="16" spans="2:17" ht="12.75">
      <c r="B16" s="213">
        <f>IF($F16+$P16&lt;&gt;0,'CHUNG TU'!A7,"")</f>
      </c>
      <c r="C16" s="213">
        <f>IF($F16+$P16&lt;&gt;0,IF('CHUNG TU'!B7&lt;&gt;"",'CHUNG TU'!B7,IF('CHUNG TU'!C7&lt;&gt;"",'CHUNG TU'!C7,'CHUNG TU'!D7)),"")</f>
      </c>
      <c r="D16" s="213">
        <f>IF($F16+$P16&lt;&gt;0,'CHUNG TU'!F7,"")</f>
      </c>
      <c r="E16" s="213">
        <f>IF($F16+$P16&lt;&gt;0,'CHUNG TU'!H7,"")</f>
      </c>
      <c r="F16" s="213">
        <f>IF(LEFT('CHUNG TU'!I7,3)='CPSXKD 642_yếu tố'!$H$7,'CHUNG TU'!$L7,0)</f>
        <v>0</v>
      </c>
      <c r="G16" s="213">
        <f>IF(G$10='CHUNG TU'!$I7,'CHUNG TU'!$L7,0)</f>
        <v>0</v>
      </c>
      <c r="H16" s="213">
        <f>IF(H$10='CHUNG TU'!$I7,'CHUNG TU'!$L7,0)</f>
        <v>0</v>
      </c>
      <c r="I16" s="213">
        <f>IF(I$10='CHUNG TU'!$I7,'CHUNG TU'!$L7,0)</f>
        <v>0</v>
      </c>
      <c r="J16" s="213">
        <f>IF(J$10='CHUNG TU'!$I7,'CHUNG TU'!$L7,0)</f>
        <v>0</v>
      </c>
      <c r="K16" s="213">
        <f>IF(K$10='CHUNG TU'!$I7,'CHUNG TU'!$L7,0)</f>
        <v>0</v>
      </c>
      <c r="L16" s="213">
        <f>IF(L$10='CHUNG TU'!$I7,'CHUNG TU'!$L7,0)</f>
        <v>0</v>
      </c>
      <c r="M16" s="213">
        <f>IF(M$10='CHUNG TU'!$I7,'CHUNG TU'!$L7,0)</f>
        <v>0</v>
      </c>
      <c r="N16" s="213">
        <f>IF(N$10='CHUNG TU'!$I7,'CHUNG TU'!$L7,0)</f>
        <v>0</v>
      </c>
      <c r="O16" s="213">
        <f>IF(F16&lt;&gt;0,'CHUNG TU'!J7,"")</f>
      </c>
      <c r="P16" s="213">
        <f>IF(LEFT('CHUNG TU'!J7,3)='CPSXKD 642_yếu tố'!$H$7,'CHUNG TU'!$L7,0)</f>
        <v>0</v>
      </c>
      <c r="Q16" s="213">
        <f>IF(P16&lt;&gt;0,'CHUNG TU'!I7,"")</f>
      </c>
    </row>
    <row r="17" spans="2:17" ht="12.75">
      <c r="B17" s="213">
        <f>IF($F17+$P17&lt;&gt;0,'CHUNG TU'!A8,"")</f>
      </c>
      <c r="C17" s="213">
        <f>IF($F17+$P17&lt;&gt;0,IF('CHUNG TU'!B8&lt;&gt;"",'CHUNG TU'!B8,IF('CHUNG TU'!C8&lt;&gt;"",'CHUNG TU'!C8,'CHUNG TU'!D8)),"")</f>
      </c>
      <c r="D17" s="213">
        <f>IF($F17+$P17&lt;&gt;0,'CHUNG TU'!F8,"")</f>
      </c>
      <c r="E17" s="213">
        <f>IF($F17+$P17&lt;&gt;0,'CHUNG TU'!H8,"")</f>
      </c>
      <c r="F17" s="213">
        <f>IF(LEFT('CHUNG TU'!I8,3)='CPSXKD 642_yếu tố'!$H$7,'CHUNG TU'!$L8,0)</f>
        <v>0</v>
      </c>
      <c r="G17" s="213">
        <f>IF(G$10='CHUNG TU'!$I8,'CHUNG TU'!$L8,0)</f>
        <v>0</v>
      </c>
      <c r="H17" s="213">
        <f>IF(H$10='CHUNG TU'!$I8,'CHUNG TU'!$L8,0)</f>
        <v>0</v>
      </c>
      <c r="I17" s="213">
        <f>IF(I$10='CHUNG TU'!$I8,'CHUNG TU'!$L8,0)</f>
        <v>0</v>
      </c>
      <c r="J17" s="213">
        <f>IF(J$10='CHUNG TU'!$I8,'CHUNG TU'!$L8,0)</f>
        <v>0</v>
      </c>
      <c r="K17" s="213">
        <f>IF(K$10='CHUNG TU'!$I8,'CHUNG TU'!$L8,0)</f>
        <v>0</v>
      </c>
      <c r="L17" s="213">
        <f>IF(L$10='CHUNG TU'!$I8,'CHUNG TU'!$L8,0)</f>
        <v>0</v>
      </c>
      <c r="M17" s="213">
        <f>IF(M$10='CHUNG TU'!$I8,'CHUNG TU'!$L8,0)</f>
        <v>0</v>
      </c>
      <c r="N17" s="213">
        <f>IF(N$10='CHUNG TU'!$I8,'CHUNG TU'!$L8,0)</f>
        <v>0</v>
      </c>
      <c r="O17" s="213">
        <f>IF(F17&lt;&gt;0,'CHUNG TU'!J8,"")</f>
      </c>
      <c r="P17" s="213">
        <f>IF(LEFT('CHUNG TU'!J8,3)='CPSXKD 642_yếu tố'!$H$7,'CHUNG TU'!$L8,0)</f>
        <v>0</v>
      </c>
      <c r="Q17" s="213">
        <f>IF(P17&lt;&gt;0,'CHUNG TU'!I8,"")</f>
      </c>
    </row>
    <row r="18" spans="2:17" ht="12.75">
      <c r="B18" s="213" t="str">
        <f>IF($F18+$P18&lt;&gt;0,'CHUNG TU'!A9,"")</f>
        <v>01/10/2020</v>
      </c>
      <c r="C18" s="213" t="str">
        <f>IF($F18+$P18&lt;&gt;0,IF('CHUNG TU'!B9&lt;&gt;"",'CHUNG TU'!B9,IF('CHUNG TU'!C9&lt;&gt;"",'CHUNG TU'!C9,'CHUNG TU'!D9)),"")</f>
        <v>PC10/003</v>
      </c>
      <c r="D18" s="213" t="str">
        <f>IF($F18+$P18&lt;&gt;0,'CHUNG TU'!F9,"")</f>
        <v>01/10/2020</v>
      </c>
      <c r="E18" s="213" t="str">
        <f>IF($F18+$P18&lt;&gt;0,'CHUNG TU'!H9,"")</f>
        <v>Chi cước phí đường bộ</v>
      </c>
      <c r="F18" s="213">
        <f>IF(LEFT('CHUNG TU'!I9,3)='CPSXKD 642_yếu tố'!$H$7,'CHUNG TU'!$L9,0)</f>
        <v>50000</v>
      </c>
      <c r="G18" s="213">
        <f>IF(G$10='CHUNG TU'!$I9,'CHUNG TU'!$L9,0)</f>
        <v>0</v>
      </c>
      <c r="H18" s="213">
        <f>IF(H$10='CHUNG TU'!$I9,'CHUNG TU'!$L9,0)</f>
        <v>0</v>
      </c>
      <c r="I18" s="213">
        <f>IF(I$10='CHUNG TU'!$I9,'CHUNG TU'!$L9,0)</f>
        <v>0</v>
      </c>
      <c r="J18" s="213">
        <f>IF(J$10='CHUNG TU'!$I9,'CHUNG TU'!$L9,0)</f>
        <v>0</v>
      </c>
      <c r="K18" s="213">
        <f>IF(K$10='CHUNG TU'!$I9,'CHUNG TU'!$L9,0)</f>
        <v>0</v>
      </c>
      <c r="L18" s="213">
        <f>IF(L$10='CHUNG TU'!$I9,'CHUNG TU'!$L9,0)</f>
        <v>0</v>
      </c>
      <c r="M18" s="213">
        <f>IF(M$10='CHUNG TU'!$I9,'CHUNG TU'!$L9,0)</f>
        <v>0</v>
      </c>
      <c r="N18" s="213">
        <f>IF(N$10='CHUNG TU'!$I9,'CHUNG TU'!$L9,0)</f>
        <v>50000</v>
      </c>
      <c r="O18" s="213" t="str">
        <f>IF(F18&lt;&gt;0,'CHUNG TU'!J9,"")</f>
        <v>1111</v>
      </c>
      <c r="P18" s="213">
        <f>IF(LEFT('CHUNG TU'!J9,3)='CPSXKD 642_yếu tố'!$H$7,'CHUNG TU'!$L9,0)</f>
        <v>0</v>
      </c>
      <c r="Q18" s="213">
        <f>IF(P18&lt;&gt;0,'CHUNG TU'!I9,"")</f>
      </c>
    </row>
    <row r="19" spans="2:17" ht="12.75">
      <c r="B19" s="213">
        <f>IF($F19+$P19&lt;&gt;0,'CHUNG TU'!A10,"")</f>
      </c>
      <c r="C19" s="213">
        <f>IF($F19+$P19&lt;&gt;0,IF('CHUNG TU'!B10&lt;&gt;"",'CHUNG TU'!B10,IF('CHUNG TU'!C10&lt;&gt;"",'CHUNG TU'!C10,'CHUNG TU'!D10)),"")</f>
      </c>
      <c r="D19" s="213">
        <f>IF($F19+$P19&lt;&gt;0,'CHUNG TU'!F10,"")</f>
      </c>
      <c r="E19" s="213">
        <f>IF($F19+$P19&lt;&gt;0,'CHUNG TU'!H10,"")</f>
      </c>
      <c r="F19" s="213">
        <f>IF(LEFT('CHUNG TU'!I10,3)='CPSXKD 642_yếu tố'!$H$7,'CHUNG TU'!$L10,0)</f>
        <v>0</v>
      </c>
      <c r="G19" s="213">
        <f>IF(G$10='CHUNG TU'!$I10,'CHUNG TU'!$L10,0)</f>
        <v>0</v>
      </c>
      <c r="H19" s="213">
        <f>IF(H$10='CHUNG TU'!$I10,'CHUNG TU'!$L10,0)</f>
        <v>0</v>
      </c>
      <c r="I19" s="213">
        <f>IF(I$10='CHUNG TU'!$I10,'CHUNG TU'!$L10,0)</f>
        <v>0</v>
      </c>
      <c r="J19" s="213">
        <f>IF(J$10='CHUNG TU'!$I10,'CHUNG TU'!$L10,0)</f>
        <v>0</v>
      </c>
      <c r="K19" s="213">
        <f>IF(K$10='CHUNG TU'!$I10,'CHUNG TU'!$L10,0)</f>
        <v>0</v>
      </c>
      <c r="L19" s="213">
        <f>IF(L$10='CHUNG TU'!$I10,'CHUNG TU'!$L10,0)</f>
        <v>0</v>
      </c>
      <c r="M19" s="213">
        <f>IF(M$10='CHUNG TU'!$I10,'CHUNG TU'!$L10,0)</f>
        <v>0</v>
      </c>
      <c r="N19" s="213">
        <f>IF(N$10='CHUNG TU'!$I10,'CHUNG TU'!$L10,0)</f>
        <v>0</v>
      </c>
      <c r="O19" s="213">
        <f>IF(F19&lt;&gt;0,'CHUNG TU'!J10,"")</f>
      </c>
      <c r="P19" s="213">
        <f>IF(LEFT('CHUNG TU'!J10,3)='CPSXKD 642_yếu tố'!$H$7,'CHUNG TU'!$L10,0)</f>
        <v>0</v>
      </c>
      <c r="Q19" s="213">
        <f>IF(P19&lt;&gt;0,'CHUNG TU'!I10,"")</f>
      </c>
    </row>
    <row r="20" spans="2:17" ht="12.75">
      <c r="B20" s="213">
        <f>IF($F20+$P20&lt;&gt;0,'CHUNG TU'!A11,"")</f>
      </c>
      <c r="C20" s="213">
        <f>IF($F20+$P20&lt;&gt;0,IF('CHUNG TU'!B11&lt;&gt;"",'CHUNG TU'!B11,IF('CHUNG TU'!C11&lt;&gt;"",'CHUNG TU'!C11,'CHUNG TU'!D11)),"")</f>
      </c>
      <c r="D20" s="213">
        <f>IF($F20+$P20&lt;&gt;0,'CHUNG TU'!F11,"")</f>
      </c>
      <c r="E20" s="213">
        <f>IF($F20+$P20&lt;&gt;0,'CHUNG TU'!H11,"")</f>
      </c>
      <c r="F20" s="213">
        <f>IF(LEFT('CHUNG TU'!I11,3)='CPSXKD 642_yếu tố'!$H$7,'CHUNG TU'!$L11,0)</f>
        <v>0</v>
      </c>
      <c r="G20" s="213">
        <f>IF(G$10='CHUNG TU'!$I11,'CHUNG TU'!$L11,0)</f>
        <v>0</v>
      </c>
      <c r="H20" s="213">
        <f>IF(H$10='CHUNG TU'!$I11,'CHUNG TU'!$L11,0)</f>
        <v>0</v>
      </c>
      <c r="I20" s="213">
        <f>IF(I$10='CHUNG TU'!$I11,'CHUNG TU'!$L11,0)</f>
        <v>0</v>
      </c>
      <c r="J20" s="213">
        <f>IF(J$10='CHUNG TU'!$I11,'CHUNG TU'!$L11,0)</f>
        <v>0</v>
      </c>
      <c r="K20" s="213">
        <f>IF(K$10='CHUNG TU'!$I11,'CHUNG TU'!$L11,0)</f>
        <v>0</v>
      </c>
      <c r="L20" s="213">
        <f>IF(L$10='CHUNG TU'!$I11,'CHUNG TU'!$L11,0)</f>
        <v>0</v>
      </c>
      <c r="M20" s="213">
        <f>IF(M$10='CHUNG TU'!$I11,'CHUNG TU'!$L11,0)</f>
        <v>0</v>
      </c>
      <c r="N20" s="213">
        <f>IF(N$10='CHUNG TU'!$I11,'CHUNG TU'!$L11,0)</f>
        <v>0</v>
      </c>
      <c r="O20" s="213">
        <f>IF(F20&lt;&gt;0,'CHUNG TU'!J11,"")</f>
      </c>
      <c r="P20" s="213">
        <f>IF(LEFT('CHUNG TU'!J11,3)='CPSXKD 642_yếu tố'!$H$7,'CHUNG TU'!$L11,0)</f>
        <v>0</v>
      </c>
      <c r="Q20" s="213">
        <f>IF(P20&lt;&gt;0,'CHUNG TU'!I11,"")</f>
      </c>
    </row>
    <row r="21" spans="2:17" ht="12.75">
      <c r="B21" s="213">
        <f>IF($F21+$P21&lt;&gt;0,'CHUNG TU'!A12,"")</f>
      </c>
      <c r="C21" s="213">
        <f>IF($F21+$P21&lt;&gt;0,IF('CHUNG TU'!B12&lt;&gt;"",'CHUNG TU'!B12,IF('CHUNG TU'!C12&lt;&gt;"",'CHUNG TU'!C12,'CHUNG TU'!D12)),"")</f>
      </c>
      <c r="D21" s="213">
        <f>IF($F21+$P21&lt;&gt;0,'CHUNG TU'!F12,"")</f>
      </c>
      <c r="E21" s="213">
        <f>IF($F21+$P21&lt;&gt;0,'CHUNG TU'!H12,"")</f>
      </c>
      <c r="F21" s="213">
        <f>IF(LEFT('CHUNG TU'!I12,3)='CPSXKD 642_yếu tố'!$H$7,'CHUNG TU'!$L12,0)</f>
        <v>0</v>
      </c>
      <c r="G21" s="213">
        <f>IF(G$10='CHUNG TU'!$I12,'CHUNG TU'!$L12,0)</f>
        <v>0</v>
      </c>
      <c r="H21" s="213">
        <f>IF(H$10='CHUNG TU'!$I12,'CHUNG TU'!$L12,0)</f>
        <v>0</v>
      </c>
      <c r="I21" s="213">
        <f>IF(I$10='CHUNG TU'!$I12,'CHUNG TU'!$L12,0)</f>
        <v>0</v>
      </c>
      <c r="J21" s="213">
        <f>IF(J$10='CHUNG TU'!$I12,'CHUNG TU'!$L12,0)</f>
        <v>0</v>
      </c>
      <c r="K21" s="213">
        <f>IF(K$10='CHUNG TU'!$I12,'CHUNG TU'!$L12,0)</f>
        <v>0</v>
      </c>
      <c r="L21" s="213">
        <f>IF(L$10='CHUNG TU'!$I12,'CHUNG TU'!$L12,0)</f>
        <v>0</v>
      </c>
      <c r="M21" s="213">
        <f>IF(M$10='CHUNG TU'!$I12,'CHUNG TU'!$L12,0)</f>
        <v>0</v>
      </c>
      <c r="N21" s="213">
        <f>IF(N$10='CHUNG TU'!$I12,'CHUNG TU'!$L12,0)</f>
        <v>0</v>
      </c>
      <c r="O21" s="213">
        <f>IF(F21&lt;&gt;0,'CHUNG TU'!J12,"")</f>
      </c>
      <c r="P21" s="213">
        <f>IF(LEFT('CHUNG TU'!J12,3)='CPSXKD 642_yếu tố'!$H$7,'CHUNG TU'!$L12,0)</f>
        <v>0</v>
      </c>
      <c r="Q21" s="213">
        <f>IF(P21&lt;&gt;0,'CHUNG TU'!I12,"")</f>
      </c>
    </row>
    <row r="22" spans="2:17" ht="12.75">
      <c r="B22" s="213">
        <f>IF($F22+$P22&lt;&gt;0,'CHUNG TU'!A13,"")</f>
      </c>
      <c r="C22" s="213">
        <f>IF($F22+$P22&lt;&gt;0,IF('CHUNG TU'!B13&lt;&gt;"",'CHUNG TU'!B13,IF('CHUNG TU'!C13&lt;&gt;"",'CHUNG TU'!C13,'CHUNG TU'!D13)),"")</f>
      </c>
      <c r="D22" s="213">
        <f>IF($F22+$P22&lt;&gt;0,'CHUNG TU'!F13,"")</f>
      </c>
      <c r="E22" s="213">
        <f>IF($F22+$P22&lt;&gt;0,'CHUNG TU'!H13,"")</f>
      </c>
      <c r="F22" s="213">
        <f>IF(LEFT('CHUNG TU'!I13,3)='CPSXKD 642_yếu tố'!$H$7,'CHUNG TU'!$L13,0)</f>
        <v>0</v>
      </c>
      <c r="G22" s="213">
        <f>IF(G$10='CHUNG TU'!$I13,'CHUNG TU'!$L13,0)</f>
        <v>0</v>
      </c>
      <c r="H22" s="213">
        <f>IF(H$10='CHUNG TU'!$I13,'CHUNG TU'!$L13,0)</f>
        <v>0</v>
      </c>
      <c r="I22" s="213">
        <f>IF(I$10='CHUNG TU'!$I13,'CHUNG TU'!$L13,0)</f>
        <v>0</v>
      </c>
      <c r="J22" s="213">
        <f>IF(J$10='CHUNG TU'!$I13,'CHUNG TU'!$L13,0)</f>
        <v>0</v>
      </c>
      <c r="K22" s="213">
        <f>IF(K$10='CHUNG TU'!$I13,'CHUNG TU'!$L13,0)</f>
        <v>0</v>
      </c>
      <c r="L22" s="213">
        <f>IF(L$10='CHUNG TU'!$I13,'CHUNG TU'!$L13,0)</f>
        <v>0</v>
      </c>
      <c r="M22" s="213">
        <f>IF(M$10='CHUNG TU'!$I13,'CHUNG TU'!$L13,0)</f>
        <v>0</v>
      </c>
      <c r="N22" s="213">
        <f>IF(N$10='CHUNG TU'!$I13,'CHUNG TU'!$L13,0)</f>
        <v>0</v>
      </c>
      <c r="O22" s="213">
        <f>IF(F22&lt;&gt;0,'CHUNG TU'!J13,"")</f>
      </c>
      <c r="P22" s="213">
        <f>IF(LEFT('CHUNG TU'!J13,3)='CPSXKD 642_yếu tố'!$H$7,'CHUNG TU'!$L13,0)</f>
        <v>0</v>
      </c>
      <c r="Q22" s="213">
        <f>IF(P22&lt;&gt;0,'CHUNG TU'!I13,"")</f>
      </c>
    </row>
    <row r="23" spans="2:17" ht="12.75">
      <c r="B23" s="213">
        <f>IF($F23+$P23&lt;&gt;0,'CHUNG TU'!A14,"")</f>
      </c>
      <c r="C23" s="213">
        <f>IF($F23+$P23&lt;&gt;0,IF('CHUNG TU'!B14&lt;&gt;"",'CHUNG TU'!B14,IF('CHUNG TU'!C14&lt;&gt;"",'CHUNG TU'!C14,'CHUNG TU'!D14)),"")</f>
      </c>
      <c r="D23" s="213">
        <f>IF($F23+$P23&lt;&gt;0,'CHUNG TU'!F14,"")</f>
      </c>
      <c r="E23" s="213">
        <f>IF($F23+$P23&lt;&gt;0,'CHUNG TU'!H14,"")</f>
      </c>
      <c r="F23" s="213">
        <f>IF(LEFT('CHUNG TU'!I14,3)='CPSXKD 642_yếu tố'!$H$7,'CHUNG TU'!$L14,0)</f>
        <v>0</v>
      </c>
      <c r="G23" s="213">
        <f>IF(G$10='CHUNG TU'!$I14,'CHUNG TU'!$L14,0)</f>
        <v>0</v>
      </c>
      <c r="H23" s="213">
        <f>IF(H$10='CHUNG TU'!$I14,'CHUNG TU'!$L14,0)</f>
        <v>0</v>
      </c>
      <c r="I23" s="213">
        <f>IF(I$10='CHUNG TU'!$I14,'CHUNG TU'!$L14,0)</f>
        <v>0</v>
      </c>
      <c r="J23" s="213">
        <f>IF(J$10='CHUNG TU'!$I14,'CHUNG TU'!$L14,0)</f>
        <v>0</v>
      </c>
      <c r="K23" s="213">
        <f>IF(K$10='CHUNG TU'!$I14,'CHUNG TU'!$L14,0)</f>
        <v>0</v>
      </c>
      <c r="L23" s="213">
        <f>IF(L$10='CHUNG TU'!$I14,'CHUNG TU'!$L14,0)</f>
        <v>0</v>
      </c>
      <c r="M23" s="213">
        <f>IF(M$10='CHUNG TU'!$I14,'CHUNG TU'!$L14,0)</f>
        <v>0</v>
      </c>
      <c r="N23" s="213">
        <f>IF(N$10='CHUNG TU'!$I14,'CHUNG TU'!$L14,0)</f>
        <v>0</v>
      </c>
      <c r="O23" s="213">
        <f>IF(F23&lt;&gt;0,'CHUNG TU'!J14,"")</f>
      </c>
      <c r="P23" s="213">
        <f>IF(LEFT('CHUNG TU'!J14,3)='CPSXKD 642_yếu tố'!$H$7,'CHUNG TU'!$L14,0)</f>
        <v>0</v>
      </c>
      <c r="Q23" s="213">
        <f>IF(P23&lt;&gt;0,'CHUNG TU'!I14,"")</f>
      </c>
    </row>
    <row r="24" spans="2:17" ht="12.75">
      <c r="B24" s="213">
        <f>IF($F24+$P24&lt;&gt;0,'CHUNG TU'!A15,"")</f>
      </c>
      <c r="C24" s="213">
        <f>IF($F24+$P24&lt;&gt;0,IF('CHUNG TU'!B15&lt;&gt;"",'CHUNG TU'!B15,IF('CHUNG TU'!C15&lt;&gt;"",'CHUNG TU'!C15,'CHUNG TU'!D15)),"")</f>
      </c>
      <c r="D24" s="213">
        <f>IF($F24+$P24&lt;&gt;0,'CHUNG TU'!F15,"")</f>
      </c>
      <c r="E24" s="213">
        <f>IF($F24+$P24&lt;&gt;0,'CHUNG TU'!H15,"")</f>
      </c>
      <c r="F24" s="213">
        <f>IF(LEFT('CHUNG TU'!I15,3)='CPSXKD 642_yếu tố'!$H$7,'CHUNG TU'!$L15,0)</f>
        <v>0</v>
      </c>
      <c r="G24" s="213">
        <f>IF(G$10='CHUNG TU'!$I15,'CHUNG TU'!$L15,0)</f>
        <v>0</v>
      </c>
      <c r="H24" s="213">
        <f>IF(H$10='CHUNG TU'!$I15,'CHUNG TU'!$L15,0)</f>
        <v>0</v>
      </c>
      <c r="I24" s="213">
        <f>IF(I$10='CHUNG TU'!$I15,'CHUNG TU'!$L15,0)</f>
        <v>0</v>
      </c>
      <c r="J24" s="213">
        <f>IF(J$10='CHUNG TU'!$I15,'CHUNG TU'!$L15,0)</f>
        <v>0</v>
      </c>
      <c r="K24" s="213">
        <f>IF(K$10='CHUNG TU'!$I15,'CHUNG TU'!$L15,0)</f>
        <v>0</v>
      </c>
      <c r="L24" s="213">
        <f>IF(L$10='CHUNG TU'!$I15,'CHUNG TU'!$L15,0)</f>
        <v>0</v>
      </c>
      <c r="M24" s="213">
        <f>IF(M$10='CHUNG TU'!$I15,'CHUNG TU'!$L15,0)</f>
        <v>0</v>
      </c>
      <c r="N24" s="213">
        <f>IF(N$10='CHUNG TU'!$I15,'CHUNG TU'!$L15,0)</f>
        <v>0</v>
      </c>
      <c r="O24" s="213">
        <f>IF(F24&lt;&gt;0,'CHUNG TU'!J15,"")</f>
      </c>
      <c r="P24" s="213">
        <f>IF(LEFT('CHUNG TU'!J15,3)='CPSXKD 642_yếu tố'!$H$7,'CHUNG TU'!$L15,0)</f>
        <v>0</v>
      </c>
      <c r="Q24" s="213">
        <f>IF(P24&lt;&gt;0,'CHUNG TU'!I15,"")</f>
      </c>
    </row>
    <row r="25" spans="2:17" ht="12.75">
      <c r="B25" s="213">
        <f>IF($F25+$P25&lt;&gt;0,'CHUNG TU'!A16,"")</f>
      </c>
      <c r="C25" s="213">
        <f>IF($F25+$P25&lt;&gt;0,IF('CHUNG TU'!B16&lt;&gt;"",'CHUNG TU'!B16,IF('CHUNG TU'!C16&lt;&gt;"",'CHUNG TU'!C16,'CHUNG TU'!D16)),"")</f>
      </c>
      <c r="D25" s="213">
        <f>IF($F25+$P25&lt;&gt;0,'CHUNG TU'!F16,"")</f>
      </c>
      <c r="E25" s="213">
        <f>IF($F25+$P25&lt;&gt;0,'CHUNG TU'!H16,"")</f>
      </c>
      <c r="F25" s="213">
        <f>IF(LEFT('CHUNG TU'!I16,3)='CPSXKD 642_yếu tố'!$H$7,'CHUNG TU'!$L16,0)</f>
        <v>0</v>
      </c>
      <c r="G25" s="213">
        <f>IF(G$10='CHUNG TU'!$I16,'CHUNG TU'!$L16,0)</f>
        <v>0</v>
      </c>
      <c r="H25" s="213">
        <f>IF(H$10='CHUNG TU'!$I16,'CHUNG TU'!$L16,0)</f>
        <v>0</v>
      </c>
      <c r="I25" s="213">
        <f>IF(I$10='CHUNG TU'!$I16,'CHUNG TU'!$L16,0)</f>
        <v>0</v>
      </c>
      <c r="J25" s="213">
        <f>IF(J$10='CHUNG TU'!$I16,'CHUNG TU'!$L16,0)</f>
        <v>0</v>
      </c>
      <c r="K25" s="213">
        <f>IF(K$10='CHUNG TU'!$I16,'CHUNG TU'!$L16,0)</f>
        <v>0</v>
      </c>
      <c r="L25" s="213">
        <f>IF(L$10='CHUNG TU'!$I16,'CHUNG TU'!$L16,0)</f>
        <v>0</v>
      </c>
      <c r="M25" s="213">
        <f>IF(M$10='CHUNG TU'!$I16,'CHUNG TU'!$L16,0)</f>
        <v>0</v>
      </c>
      <c r="N25" s="213">
        <f>IF(N$10='CHUNG TU'!$I16,'CHUNG TU'!$L16,0)</f>
        <v>0</v>
      </c>
      <c r="O25" s="213">
        <f>IF(F25&lt;&gt;0,'CHUNG TU'!J16,"")</f>
      </c>
      <c r="P25" s="213">
        <f>IF(LEFT('CHUNG TU'!J16,3)='CPSXKD 642_yếu tố'!$H$7,'CHUNG TU'!$L16,0)</f>
        <v>0</v>
      </c>
      <c r="Q25" s="213">
        <f>IF(P25&lt;&gt;0,'CHUNG TU'!I16,"")</f>
      </c>
    </row>
    <row r="26" spans="2:17" ht="12.75">
      <c r="B26" s="213">
        <f>IF($F26+$P26&lt;&gt;0,'CHUNG TU'!A17,"")</f>
      </c>
      <c r="C26" s="213">
        <f>IF($F26+$P26&lt;&gt;0,IF('CHUNG TU'!B17&lt;&gt;"",'CHUNG TU'!B17,IF('CHUNG TU'!C17&lt;&gt;"",'CHUNG TU'!C17,'CHUNG TU'!D17)),"")</f>
      </c>
      <c r="D26" s="213">
        <f>IF($F26+$P26&lt;&gt;0,'CHUNG TU'!F17,"")</f>
      </c>
      <c r="E26" s="213">
        <f>IF($F26+$P26&lt;&gt;0,'CHUNG TU'!H17,"")</f>
      </c>
      <c r="F26" s="213">
        <f>IF(LEFT('CHUNG TU'!I17,3)='CPSXKD 642_yếu tố'!$H$7,'CHUNG TU'!$L17,0)</f>
        <v>0</v>
      </c>
      <c r="G26" s="213">
        <f>IF(G$10='CHUNG TU'!$I17,'CHUNG TU'!$L17,0)</f>
        <v>0</v>
      </c>
      <c r="H26" s="213">
        <f>IF(H$10='CHUNG TU'!$I17,'CHUNG TU'!$L17,0)</f>
        <v>0</v>
      </c>
      <c r="I26" s="213">
        <f>IF(I$10='CHUNG TU'!$I17,'CHUNG TU'!$L17,0)</f>
        <v>0</v>
      </c>
      <c r="J26" s="213">
        <f>IF(J$10='CHUNG TU'!$I17,'CHUNG TU'!$L17,0)</f>
        <v>0</v>
      </c>
      <c r="K26" s="213">
        <f>IF(K$10='CHUNG TU'!$I17,'CHUNG TU'!$L17,0)</f>
        <v>0</v>
      </c>
      <c r="L26" s="213">
        <f>IF(L$10='CHUNG TU'!$I17,'CHUNG TU'!$L17,0)</f>
        <v>0</v>
      </c>
      <c r="M26" s="213">
        <f>IF(M$10='CHUNG TU'!$I17,'CHUNG TU'!$L17,0)</f>
        <v>0</v>
      </c>
      <c r="N26" s="213">
        <f>IF(N$10='CHUNG TU'!$I17,'CHUNG TU'!$L17,0)</f>
        <v>0</v>
      </c>
      <c r="O26" s="213">
        <f>IF(F26&lt;&gt;0,'CHUNG TU'!J17,"")</f>
      </c>
      <c r="P26" s="213">
        <f>IF(LEFT('CHUNG TU'!J17,3)='CPSXKD 642_yếu tố'!$H$7,'CHUNG TU'!$L17,0)</f>
        <v>0</v>
      </c>
      <c r="Q26" s="213">
        <f>IF(P26&lt;&gt;0,'CHUNG TU'!I17,"")</f>
      </c>
    </row>
    <row r="27" spans="2:17" ht="12.75">
      <c r="B27" s="213" t="str">
        <f>IF($F27+$P27&lt;&gt;0,'CHUNG TU'!A18,"")</f>
        <v>03/10/2020</v>
      </c>
      <c r="C27" s="213" t="str">
        <f>IF($F27+$P27&lt;&gt;0,IF('CHUNG TU'!B18&lt;&gt;"",'CHUNG TU'!B18,IF('CHUNG TU'!C18&lt;&gt;"",'CHUNG TU'!C18,'CHUNG TU'!D18)),"")</f>
        <v>PC10/007</v>
      </c>
      <c r="D27" s="213" t="str">
        <f>IF($F27+$P27&lt;&gt;0,'CHUNG TU'!F18,"")</f>
        <v>03/10/2020</v>
      </c>
      <c r="E27" s="213" t="str">
        <f>IF($F27+$P27&lt;&gt;0,'CHUNG TU'!H18,"")</f>
        <v>Chi tiếp khách</v>
      </c>
      <c r="F27" s="213">
        <f>IF(LEFT('CHUNG TU'!I18,3)='CPSXKD 642_yếu tố'!$H$7,'CHUNG TU'!$L18,0)</f>
        <v>1200000</v>
      </c>
      <c r="G27" s="213">
        <f>IF(G$10='CHUNG TU'!$I18,'CHUNG TU'!$L18,0)</f>
        <v>0</v>
      </c>
      <c r="H27" s="213">
        <f>IF(H$10='CHUNG TU'!$I18,'CHUNG TU'!$L18,0)</f>
        <v>0</v>
      </c>
      <c r="I27" s="213">
        <f>IF(I$10='CHUNG TU'!$I18,'CHUNG TU'!$L18,0)</f>
        <v>0</v>
      </c>
      <c r="J27" s="213">
        <f>IF(J$10='CHUNG TU'!$I18,'CHUNG TU'!$L18,0)</f>
        <v>0</v>
      </c>
      <c r="K27" s="213">
        <f>IF(K$10='CHUNG TU'!$I18,'CHUNG TU'!$L18,0)</f>
        <v>0</v>
      </c>
      <c r="L27" s="213">
        <f>IF(L$10='CHUNG TU'!$I18,'CHUNG TU'!$L18,0)</f>
        <v>0</v>
      </c>
      <c r="M27" s="213">
        <f>IF(M$10='CHUNG TU'!$I18,'CHUNG TU'!$L18,0)</f>
        <v>0</v>
      </c>
      <c r="N27" s="213">
        <f>IF(N$10='CHUNG TU'!$I18,'CHUNG TU'!$L18,0)</f>
        <v>1200000</v>
      </c>
      <c r="O27" s="213" t="str">
        <f>IF(F27&lt;&gt;0,'CHUNG TU'!J18,"")</f>
        <v>1111</v>
      </c>
      <c r="P27" s="213">
        <f>IF(LEFT('CHUNG TU'!J18,3)='CPSXKD 642_yếu tố'!$H$7,'CHUNG TU'!$L18,0)</f>
        <v>0</v>
      </c>
      <c r="Q27" s="213">
        <f>IF(P27&lt;&gt;0,'CHUNG TU'!I18,"")</f>
      </c>
    </row>
    <row r="28" spans="2:17" ht="12.75">
      <c r="B28" s="213">
        <f>IF($F28+$P28&lt;&gt;0,'CHUNG TU'!A19,"")</f>
      </c>
      <c r="C28" s="213">
        <f>IF($F28+$P28&lt;&gt;0,IF('CHUNG TU'!B19&lt;&gt;"",'CHUNG TU'!B19,IF('CHUNG TU'!C19&lt;&gt;"",'CHUNG TU'!C19,'CHUNG TU'!D19)),"")</f>
      </c>
      <c r="D28" s="213">
        <f>IF($F28+$P28&lt;&gt;0,'CHUNG TU'!F19,"")</f>
      </c>
      <c r="E28" s="213">
        <f>IF($F28+$P28&lt;&gt;0,'CHUNG TU'!H19,"")</f>
      </c>
      <c r="F28" s="213">
        <f>IF(LEFT('CHUNG TU'!I19,3)='CPSXKD 642_yếu tố'!$H$7,'CHUNG TU'!$L19,0)</f>
        <v>0</v>
      </c>
      <c r="G28" s="213">
        <f>IF(G$10='CHUNG TU'!$I19,'CHUNG TU'!$L19,0)</f>
        <v>0</v>
      </c>
      <c r="H28" s="213">
        <f>IF(H$10='CHUNG TU'!$I19,'CHUNG TU'!$L19,0)</f>
        <v>0</v>
      </c>
      <c r="I28" s="213">
        <f>IF(I$10='CHUNG TU'!$I19,'CHUNG TU'!$L19,0)</f>
        <v>0</v>
      </c>
      <c r="J28" s="213">
        <f>IF(J$10='CHUNG TU'!$I19,'CHUNG TU'!$L19,0)</f>
        <v>0</v>
      </c>
      <c r="K28" s="213">
        <f>IF(K$10='CHUNG TU'!$I19,'CHUNG TU'!$L19,0)</f>
        <v>0</v>
      </c>
      <c r="L28" s="213">
        <f>IF(L$10='CHUNG TU'!$I19,'CHUNG TU'!$L19,0)</f>
        <v>0</v>
      </c>
      <c r="M28" s="213">
        <f>IF(M$10='CHUNG TU'!$I19,'CHUNG TU'!$L19,0)</f>
        <v>0</v>
      </c>
      <c r="N28" s="213">
        <f>IF(N$10='CHUNG TU'!$I19,'CHUNG TU'!$L19,0)</f>
        <v>0</v>
      </c>
      <c r="O28" s="213">
        <f>IF(F28&lt;&gt;0,'CHUNG TU'!J19,"")</f>
      </c>
      <c r="P28" s="213">
        <f>IF(LEFT('CHUNG TU'!J19,3)='CPSXKD 642_yếu tố'!$H$7,'CHUNG TU'!$L19,0)</f>
        <v>0</v>
      </c>
      <c r="Q28" s="213">
        <f>IF(P28&lt;&gt;0,'CHUNG TU'!I19,"")</f>
      </c>
    </row>
    <row r="29" spans="2:17" ht="12.75">
      <c r="B29" s="213">
        <f>IF($F29+$P29&lt;&gt;0,'CHUNG TU'!A20,"")</f>
      </c>
      <c r="C29" s="213">
        <f>IF($F29+$P29&lt;&gt;0,IF('CHUNG TU'!B20&lt;&gt;"",'CHUNG TU'!B20,IF('CHUNG TU'!C20&lt;&gt;"",'CHUNG TU'!C20,'CHUNG TU'!D20)),"")</f>
      </c>
      <c r="D29" s="213">
        <f>IF($F29+$P29&lt;&gt;0,'CHUNG TU'!F20,"")</f>
      </c>
      <c r="E29" s="213">
        <f>IF($F29+$P29&lt;&gt;0,'CHUNG TU'!H20,"")</f>
      </c>
      <c r="F29" s="213">
        <f>IF(LEFT('CHUNG TU'!I20,3)='CPSXKD 642_yếu tố'!$H$7,'CHUNG TU'!$L20,0)</f>
        <v>0</v>
      </c>
      <c r="G29" s="213">
        <f>IF(G$10='CHUNG TU'!$I20,'CHUNG TU'!$L20,0)</f>
        <v>0</v>
      </c>
      <c r="H29" s="213">
        <f>IF(H$10='CHUNG TU'!$I20,'CHUNG TU'!$L20,0)</f>
        <v>0</v>
      </c>
      <c r="I29" s="213">
        <f>IF(I$10='CHUNG TU'!$I20,'CHUNG TU'!$L20,0)</f>
        <v>0</v>
      </c>
      <c r="J29" s="213">
        <f>IF(J$10='CHUNG TU'!$I20,'CHUNG TU'!$L20,0)</f>
        <v>0</v>
      </c>
      <c r="K29" s="213">
        <f>IF(K$10='CHUNG TU'!$I20,'CHUNG TU'!$L20,0)</f>
        <v>0</v>
      </c>
      <c r="L29" s="213">
        <f>IF(L$10='CHUNG TU'!$I20,'CHUNG TU'!$L20,0)</f>
        <v>0</v>
      </c>
      <c r="M29" s="213">
        <f>IF(M$10='CHUNG TU'!$I20,'CHUNG TU'!$L20,0)</f>
        <v>0</v>
      </c>
      <c r="N29" s="213">
        <f>IF(N$10='CHUNG TU'!$I20,'CHUNG TU'!$L20,0)</f>
        <v>0</v>
      </c>
      <c r="O29" s="213">
        <f>IF(F29&lt;&gt;0,'CHUNG TU'!J20,"")</f>
      </c>
      <c r="P29" s="213">
        <f>IF(LEFT('CHUNG TU'!J20,3)='CPSXKD 642_yếu tố'!$H$7,'CHUNG TU'!$L20,0)</f>
        <v>0</v>
      </c>
      <c r="Q29" s="213">
        <f>IF(P29&lt;&gt;0,'CHUNG TU'!I20,"")</f>
      </c>
    </row>
    <row r="30" spans="2:17" ht="12.75">
      <c r="B30" s="213">
        <f>IF($F30+$P30&lt;&gt;0,'CHUNG TU'!A21,"")</f>
      </c>
      <c r="C30" s="213">
        <f>IF($F30+$P30&lt;&gt;0,IF('CHUNG TU'!B21&lt;&gt;"",'CHUNG TU'!B21,IF('CHUNG TU'!C21&lt;&gt;"",'CHUNG TU'!C21,'CHUNG TU'!D21)),"")</f>
      </c>
      <c r="D30" s="213">
        <f>IF($F30+$P30&lt;&gt;0,'CHUNG TU'!F21,"")</f>
      </c>
      <c r="E30" s="213">
        <f>IF($F30+$P30&lt;&gt;0,'CHUNG TU'!H21,"")</f>
      </c>
      <c r="F30" s="213">
        <f>IF(LEFT('CHUNG TU'!I21,3)='CPSXKD 642_yếu tố'!$H$7,'CHUNG TU'!$L21,0)</f>
        <v>0</v>
      </c>
      <c r="G30" s="213">
        <f>IF(G$10='CHUNG TU'!$I21,'CHUNG TU'!$L21,0)</f>
        <v>0</v>
      </c>
      <c r="H30" s="213">
        <f>IF(H$10='CHUNG TU'!$I21,'CHUNG TU'!$L21,0)</f>
        <v>0</v>
      </c>
      <c r="I30" s="213">
        <f>IF(I$10='CHUNG TU'!$I21,'CHUNG TU'!$L21,0)</f>
        <v>0</v>
      </c>
      <c r="J30" s="213">
        <f>IF(J$10='CHUNG TU'!$I21,'CHUNG TU'!$L21,0)</f>
        <v>0</v>
      </c>
      <c r="K30" s="213">
        <f>IF(K$10='CHUNG TU'!$I21,'CHUNG TU'!$L21,0)</f>
        <v>0</v>
      </c>
      <c r="L30" s="213">
        <f>IF(L$10='CHUNG TU'!$I21,'CHUNG TU'!$L21,0)</f>
        <v>0</v>
      </c>
      <c r="M30" s="213">
        <f>IF(M$10='CHUNG TU'!$I21,'CHUNG TU'!$L21,0)</f>
        <v>0</v>
      </c>
      <c r="N30" s="213">
        <f>IF(N$10='CHUNG TU'!$I21,'CHUNG TU'!$L21,0)</f>
        <v>0</v>
      </c>
      <c r="O30" s="213">
        <f>IF(F30&lt;&gt;0,'CHUNG TU'!J21,"")</f>
      </c>
      <c r="P30" s="213">
        <f>IF(LEFT('CHUNG TU'!J21,3)='CPSXKD 642_yếu tố'!$H$7,'CHUNG TU'!$L21,0)</f>
        <v>0</v>
      </c>
      <c r="Q30" s="213">
        <f>IF(P30&lt;&gt;0,'CHUNG TU'!I21,"")</f>
      </c>
    </row>
    <row r="31" spans="2:17" ht="12.75">
      <c r="B31" s="213">
        <f>IF($F31+$P31&lt;&gt;0,'CHUNG TU'!A22,"")</f>
      </c>
      <c r="C31" s="213">
        <f>IF($F31+$P31&lt;&gt;0,IF('CHUNG TU'!B22&lt;&gt;"",'CHUNG TU'!B22,IF('CHUNG TU'!C22&lt;&gt;"",'CHUNG TU'!C22,'CHUNG TU'!D22)),"")</f>
      </c>
      <c r="D31" s="213">
        <f>IF($F31+$P31&lt;&gt;0,'CHUNG TU'!F22,"")</f>
      </c>
      <c r="E31" s="213">
        <f>IF($F31+$P31&lt;&gt;0,'CHUNG TU'!H22,"")</f>
      </c>
      <c r="F31" s="213">
        <f>IF(LEFT('CHUNG TU'!I22,3)='CPSXKD 642_yếu tố'!$H$7,'CHUNG TU'!$L22,0)</f>
        <v>0</v>
      </c>
      <c r="G31" s="213">
        <f>IF(G$10='CHUNG TU'!$I22,'CHUNG TU'!$L22,0)</f>
        <v>0</v>
      </c>
      <c r="H31" s="213">
        <f>IF(H$10='CHUNG TU'!$I22,'CHUNG TU'!$L22,0)</f>
        <v>0</v>
      </c>
      <c r="I31" s="213">
        <f>IF(I$10='CHUNG TU'!$I22,'CHUNG TU'!$L22,0)</f>
        <v>0</v>
      </c>
      <c r="J31" s="213">
        <f>IF(J$10='CHUNG TU'!$I22,'CHUNG TU'!$L22,0)</f>
        <v>0</v>
      </c>
      <c r="K31" s="213">
        <f>IF(K$10='CHUNG TU'!$I22,'CHUNG TU'!$L22,0)</f>
        <v>0</v>
      </c>
      <c r="L31" s="213">
        <f>IF(L$10='CHUNG TU'!$I22,'CHUNG TU'!$L22,0)</f>
        <v>0</v>
      </c>
      <c r="M31" s="213">
        <f>IF(M$10='CHUNG TU'!$I22,'CHUNG TU'!$L22,0)</f>
        <v>0</v>
      </c>
      <c r="N31" s="213">
        <f>IF(N$10='CHUNG TU'!$I22,'CHUNG TU'!$L22,0)</f>
        <v>0</v>
      </c>
      <c r="O31" s="213">
        <f>IF(F31&lt;&gt;0,'CHUNG TU'!J22,"")</f>
      </c>
      <c r="P31" s="213">
        <f>IF(LEFT('CHUNG TU'!J22,3)='CPSXKD 642_yếu tố'!$H$7,'CHUNG TU'!$L22,0)</f>
        <v>0</v>
      </c>
      <c r="Q31" s="213">
        <f>IF(P31&lt;&gt;0,'CHUNG TU'!I22,"")</f>
      </c>
    </row>
    <row r="32" spans="2:17" ht="12.75">
      <c r="B32" s="213">
        <f>IF($F32+$P32&lt;&gt;0,'CHUNG TU'!A23,"")</f>
      </c>
      <c r="C32" s="213">
        <f>IF($F32+$P32&lt;&gt;0,IF('CHUNG TU'!B23&lt;&gt;"",'CHUNG TU'!B23,IF('CHUNG TU'!C23&lt;&gt;"",'CHUNG TU'!C23,'CHUNG TU'!D23)),"")</f>
      </c>
      <c r="D32" s="213">
        <f>IF($F32+$P32&lt;&gt;0,'CHUNG TU'!F23,"")</f>
      </c>
      <c r="E32" s="213">
        <f>IF($F32+$P32&lt;&gt;0,'CHUNG TU'!H23,"")</f>
      </c>
      <c r="F32" s="213">
        <f>IF(LEFT('CHUNG TU'!I23,3)='CPSXKD 642_yếu tố'!$H$7,'CHUNG TU'!$L23,0)</f>
        <v>0</v>
      </c>
      <c r="G32" s="213">
        <f>IF(G$10='CHUNG TU'!$I23,'CHUNG TU'!$L23,0)</f>
        <v>0</v>
      </c>
      <c r="H32" s="213">
        <f>IF(H$10='CHUNG TU'!$I23,'CHUNG TU'!$L23,0)</f>
        <v>0</v>
      </c>
      <c r="I32" s="213">
        <f>IF(I$10='CHUNG TU'!$I23,'CHUNG TU'!$L23,0)</f>
        <v>0</v>
      </c>
      <c r="J32" s="213">
        <f>IF(J$10='CHUNG TU'!$I23,'CHUNG TU'!$L23,0)</f>
        <v>0</v>
      </c>
      <c r="K32" s="213">
        <f>IF(K$10='CHUNG TU'!$I23,'CHUNG TU'!$L23,0)</f>
        <v>0</v>
      </c>
      <c r="L32" s="213">
        <f>IF(L$10='CHUNG TU'!$I23,'CHUNG TU'!$L23,0)</f>
        <v>0</v>
      </c>
      <c r="M32" s="213">
        <f>IF(M$10='CHUNG TU'!$I23,'CHUNG TU'!$L23,0)</f>
        <v>0</v>
      </c>
      <c r="N32" s="213">
        <f>IF(N$10='CHUNG TU'!$I23,'CHUNG TU'!$L23,0)</f>
        <v>0</v>
      </c>
      <c r="O32" s="213">
        <f>IF(F32&lt;&gt;0,'CHUNG TU'!J23,"")</f>
      </c>
      <c r="P32" s="213">
        <f>IF(LEFT('CHUNG TU'!J23,3)='CPSXKD 642_yếu tố'!$H$7,'CHUNG TU'!$L23,0)</f>
        <v>0</v>
      </c>
      <c r="Q32" s="213">
        <f>IF(P32&lt;&gt;0,'CHUNG TU'!I23,"")</f>
      </c>
    </row>
    <row r="33" spans="2:17" ht="12.75">
      <c r="B33" s="213">
        <f>IF($F33+$P33&lt;&gt;0,'CHUNG TU'!A24,"")</f>
      </c>
      <c r="C33" s="213">
        <f>IF($F33+$P33&lt;&gt;0,IF('CHUNG TU'!B24&lt;&gt;"",'CHUNG TU'!B24,IF('CHUNG TU'!C24&lt;&gt;"",'CHUNG TU'!C24,'CHUNG TU'!D24)),"")</f>
      </c>
      <c r="D33" s="213">
        <f>IF($F33+$P33&lt;&gt;0,'CHUNG TU'!F24,"")</f>
      </c>
      <c r="E33" s="213">
        <f>IF($F33+$P33&lt;&gt;0,'CHUNG TU'!H24,"")</f>
      </c>
      <c r="F33" s="213">
        <f>IF(LEFT('CHUNG TU'!I24,3)='CPSXKD 642_yếu tố'!$H$7,'CHUNG TU'!$L24,0)</f>
        <v>0</v>
      </c>
      <c r="G33" s="213">
        <f>IF(G$10='CHUNG TU'!$I24,'CHUNG TU'!$L24,0)</f>
        <v>0</v>
      </c>
      <c r="H33" s="213">
        <f>IF(H$10='CHUNG TU'!$I24,'CHUNG TU'!$L24,0)</f>
        <v>0</v>
      </c>
      <c r="I33" s="213">
        <f>IF(I$10='CHUNG TU'!$I24,'CHUNG TU'!$L24,0)</f>
        <v>0</v>
      </c>
      <c r="J33" s="213">
        <f>IF(J$10='CHUNG TU'!$I24,'CHUNG TU'!$L24,0)</f>
        <v>0</v>
      </c>
      <c r="K33" s="213">
        <f>IF(K$10='CHUNG TU'!$I24,'CHUNG TU'!$L24,0)</f>
        <v>0</v>
      </c>
      <c r="L33" s="213">
        <f>IF(L$10='CHUNG TU'!$I24,'CHUNG TU'!$L24,0)</f>
        <v>0</v>
      </c>
      <c r="M33" s="213">
        <f>IF(M$10='CHUNG TU'!$I24,'CHUNG TU'!$L24,0)</f>
        <v>0</v>
      </c>
      <c r="N33" s="213">
        <f>IF(N$10='CHUNG TU'!$I24,'CHUNG TU'!$L24,0)</f>
        <v>0</v>
      </c>
      <c r="O33" s="213">
        <f>IF(F33&lt;&gt;0,'CHUNG TU'!J24,"")</f>
      </c>
      <c r="P33" s="213">
        <f>IF(LEFT('CHUNG TU'!J24,3)='CPSXKD 642_yếu tố'!$H$7,'CHUNG TU'!$L24,0)</f>
        <v>0</v>
      </c>
      <c r="Q33" s="213">
        <f>IF(P33&lt;&gt;0,'CHUNG TU'!I24,"")</f>
      </c>
    </row>
    <row r="34" spans="2:17" ht="12.75">
      <c r="B34" s="213">
        <f>IF($F34+$P34&lt;&gt;0,'CHUNG TU'!A25,"")</f>
      </c>
      <c r="C34" s="213">
        <f>IF($F34+$P34&lt;&gt;0,IF('CHUNG TU'!B25&lt;&gt;"",'CHUNG TU'!B25,IF('CHUNG TU'!C25&lt;&gt;"",'CHUNG TU'!C25,'CHUNG TU'!D25)),"")</f>
      </c>
      <c r="D34" s="213">
        <f>IF($F34+$P34&lt;&gt;0,'CHUNG TU'!F25,"")</f>
      </c>
      <c r="E34" s="213">
        <f>IF($F34+$P34&lt;&gt;0,'CHUNG TU'!H25,"")</f>
      </c>
      <c r="F34" s="213">
        <f>IF(LEFT('CHUNG TU'!I25,3)='CPSXKD 642_yếu tố'!$H$7,'CHUNG TU'!$L25,0)</f>
        <v>0</v>
      </c>
      <c r="G34" s="213">
        <f>IF(G$10='CHUNG TU'!$I25,'CHUNG TU'!$L25,0)</f>
        <v>0</v>
      </c>
      <c r="H34" s="213">
        <f>IF(H$10='CHUNG TU'!$I25,'CHUNG TU'!$L25,0)</f>
        <v>0</v>
      </c>
      <c r="I34" s="213">
        <f>IF(I$10='CHUNG TU'!$I25,'CHUNG TU'!$L25,0)</f>
        <v>0</v>
      </c>
      <c r="J34" s="213">
        <f>IF(J$10='CHUNG TU'!$I25,'CHUNG TU'!$L25,0)</f>
        <v>0</v>
      </c>
      <c r="K34" s="213">
        <f>IF(K$10='CHUNG TU'!$I25,'CHUNG TU'!$L25,0)</f>
        <v>0</v>
      </c>
      <c r="L34" s="213">
        <f>IF(L$10='CHUNG TU'!$I25,'CHUNG TU'!$L25,0)</f>
        <v>0</v>
      </c>
      <c r="M34" s="213">
        <f>IF(M$10='CHUNG TU'!$I25,'CHUNG TU'!$L25,0)</f>
        <v>0</v>
      </c>
      <c r="N34" s="213">
        <f>IF(N$10='CHUNG TU'!$I25,'CHUNG TU'!$L25,0)</f>
        <v>0</v>
      </c>
      <c r="O34" s="213">
        <f>IF(F34&lt;&gt;0,'CHUNG TU'!J25,"")</f>
      </c>
      <c r="P34" s="213">
        <f>IF(LEFT('CHUNG TU'!J25,3)='CPSXKD 642_yếu tố'!$H$7,'CHUNG TU'!$L25,0)</f>
        <v>0</v>
      </c>
      <c r="Q34" s="213">
        <f>IF(P34&lt;&gt;0,'CHUNG TU'!I25,"")</f>
      </c>
    </row>
    <row r="35" spans="2:17" ht="12.75">
      <c r="B35" s="213">
        <f>IF($F35+$P35&lt;&gt;0,'CHUNG TU'!A26,"")</f>
      </c>
      <c r="C35" s="213">
        <f>IF($F35+$P35&lt;&gt;0,IF('CHUNG TU'!B26&lt;&gt;"",'CHUNG TU'!B26,IF('CHUNG TU'!C26&lt;&gt;"",'CHUNG TU'!C26,'CHUNG TU'!D26)),"")</f>
      </c>
      <c r="D35" s="213">
        <f>IF($F35+$P35&lt;&gt;0,'CHUNG TU'!F26,"")</f>
      </c>
      <c r="E35" s="213">
        <f>IF($F35+$P35&lt;&gt;0,'CHUNG TU'!H26,"")</f>
      </c>
      <c r="F35" s="213">
        <f>IF(LEFT('CHUNG TU'!I26,3)='CPSXKD 642_yếu tố'!$H$7,'CHUNG TU'!$L26,0)</f>
        <v>0</v>
      </c>
      <c r="G35" s="213">
        <f>IF(G$10='CHUNG TU'!$I26,'CHUNG TU'!$L26,0)</f>
        <v>0</v>
      </c>
      <c r="H35" s="213">
        <f>IF(H$10='CHUNG TU'!$I26,'CHUNG TU'!$L26,0)</f>
        <v>0</v>
      </c>
      <c r="I35" s="213">
        <f>IF(I$10='CHUNG TU'!$I26,'CHUNG TU'!$L26,0)</f>
        <v>0</v>
      </c>
      <c r="J35" s="213">
        <f>IF(J$10='CHUNG TU'!$I26,'CHUNG TU'!$L26,0)</f>
        <v>0</v>
      </c>
      <c r="K35" s="213">
        <f>IF(K$10='CHUNG TU'!$I26,'CHUNG TU'!$L26,0)</f>
        <v>0</v>
      </c>
      <c r="L35" s="213">
        <f>IF(L$10='CHUNG TU'!$I26,'CHUNG TU'!$L26,0)</f>
        <v>0</v>
      </c>
      <c r="M35" s="213">
        <f>IF(M$10='CHUNG TU'!$I26,'CHUNG TU'!$L26,0)</f>
        <v>0</v>
      </c>
      <c r="N35" s="213">
        <f>IF(N$10='CHUNG TU'!$I26,'CHUNG TU'!$L26,0)</f>
        <v>0</v>
      </c>
      <c r="O35" s="213">
        <f>IF(F35&lt;&gt;0,'CHUNG TU'!J26,"")</f>
      </c>
      <c r="P35" s="213">
        <f>IF(LEFT('CHUNG TU'!J26,3)='CPSXKD 642_yếu tố'!$H$7,'CHUNG TU'!$L26,0)</f>
        <v>0</v>
      </c>
      <c r="Q35" s="213">
        <f>IF(P35&lt;&gt;0,'CHUNG TU'!I26,"")</f>
      </c>
    </row>
    <row r="36" spans="2:17" ht="12.75">
      <c r="B36" s="213">
        <f>IF($F36+$P36&lt;&gt;0,'CHUNG TU'!A27,"")</f>
      </c>
      <c r="C36" s="213">
        <f>IF($F36+$P36&lt;&gt;0,IF('CHUNG TU'!B27&lt;&gt;"",'CHUNG TU'!B27,IF('CHUNG TU'!C27&lt;&gt;"",'CHUNG TU'!C27,'CHUNG TU'!D27)),"")</f>
      </c>
      <c r="D36" s="213">
        <f>IF($F36+$P36&lt;&gt;0,'CHUNG TU'!F27,"")</f>
      </c>
      <c r="E36" s="213">
        <f>IF($F36+$P36&lt;&gt;0,'CHUNG TU'!H27,"")</f>
      </c>
      <c r="F36" s="213">
        <f>IF(LEFT('CHUNG TU'!I27,3)='CPSXKD 642_yếu tố'!$H$7,'CHUNG TU'!$L27,0)</f>
        <v>0</v>
      </c>
      <c r="G36" s="213">
        <f>IF(G$10='CHUNG TU'!$I27,'CHUNG TU'!$L27,0)</f>
        <v>0</v>
      </c>
      <c r="H36" s="213">
        <f>IF(H$10='CHUNG TU'!$I27,'CHUNG TU'!$L27,0)</f>
        <v>0</v>
      </c>
      <c r="I36" s="213">
        <f>IF(I$10='CHUNG TU'!$I27,'CHUNG TU'!$L27,0)</f>
        <v>0</v>
      </c>
      <c r="J36" s="213">
        <f>IF(J$10='CHUNG TU'!$I27,'CHUNG TU'!$L27,0)</f>
        <v>0</v>
      </c>
      <c r="K36" s="213">
        <f>IF(K$10='CHUNG TU'!$I27,'CHUNG TU'!$L27,0)</f>
        <v>0</v>
      </c>
      <c r="L36" s="213">
        <f>IF(L$10='CHUNG TU'!$I27,'CHUNG TU'!$L27,0)</f>
        <v>0</v>
      </c>
      <c r="M36" s="213">
        <f>IF(M$10='CHUNG TU'!$I27,'CHUNG TU'!$L27,0)</f>
        <v>0</v>
      </c>
      <c r="N36" s="213">
        <f>IF(N$10='CHUNG TU'!$I27,'CHUNG TU'!$L27,0)</f>
        <v>0</v>
      </c>
      <c r="O36" s="213">
        <f>IF(F36&lt;&gt;0,'CHUNG TU'!J27,"")</f>
      </c>
      <c r="P36" s="213">
        <f>IF(LEFT('CHUNG TU'!J27,3)='CPSXKD 642_yếu tố'!$H$7,'CHUNG TU'!$L27,0)</f>
        <v>0</v>
      </c>
      <c r="Q36" s="213">
        <f>IF(P36&lt;&gt;0,'CHUNG TU'!I27,"")</f>
      </c>
    </row>
    <row r="37" spans="2:17" ht="12.75">
      <c r="B37" s="213">
        <f>IF($F37+$P37&lt;&gt;0,'CHUNG TU'!A28,"")</f>
      </c>
      <c r="C37" s="213">
        <f>IF($F37+$P37&lt;&gt;0,IF('CHUNG TU'!B28&lt;&gt;"",'CHUNG TU'!B28,IF('CHUNG TU'!C28&lt;&gt;"",'CHUNG TU'!C28,'CHUNG TU'!D28)),"")</f>
      </c>
      <c r="D37" s="213">
        <f>IF($F37+$P37&lt;&gt;0,'CHUNG TU'!F28,"")</f>
      </c>
      <c r="E37" s="213">
        <f>IF($F37+$P37&lt;&gt;0,'CHUNG TU'!H28,"")</f>
      </c>
      <c r="F37" s="213">
        <f>IF(LEFT('CHUNG TU'!I28,3)='CPSXKD 642_yếu tố'!$H$7,'CHUNG TU'!$L28,0)</f>
        <v>0</v>
      </c>
      <c r="G37" s="213">
        <f>IF(G$10='CHUNG TU'!$I28,'CHUNG TU'!$L28,0)</f>
        <v>0</v>
      </c>
      <c r="H37" s="213">
        <f>IF(H$10='CHUNG TU'!$I28,'CHUNG TU'!$L28,0)</f>
        <v>0</v>
      </c>
      <c r="I37" s="213">
        <f>IF(I$10='CHUNG TU'!$I28,'CHUNG TU'!$L28,0)</f>
        <v>0</v>
      </c>
      <c r="J37" s="213">
        <f>IF(J$10='CHUNG TU'!$I28,'CHUNG TU'!$L28,0)</f>
        <v>0</v>
      </c>
      <c r="K37" s="213">
        <f>IF(K$10='CHUNG TU'!$I28,'CHUNG TU'!$L28,0)</f>
        <v>0</v>
      </c>
      <c r="L37" s="213">
        <f>IF(L$10='CHUNG TU'!$I28,'CHUNG TU'!$L28,0)</f>
        <v>0</v>
      </c>
      <c r="M37" s="213">
        <f>IF(M$10='CHUNG TU'!$I28,'CHUNG TU'!$L28,0)</f>
        <v>0</v>
      </c>
      <c r="N37" s="213">
        <f>IF(N$10='CHUNG TU'!$I28,'CHUNG TU'!$L28,0)</f>
        <v>0</v>
      </c>
      <c r="O37" s="213">
        <f>IF(F37&lt;&gt;0,'CHUNG TU'!J28,"")</f>
      </c>
      <c r="P37" s="213">
        <f>IF(LEFT('CHUNG TU'!J28,3)='CPSXKD 642_yếu tố'!$H$7,'CHUNG TU'!$L28,0)</f>
        <v>0</v>
      </c>
      <c r="Q37" s="213">
        <f>IF(P37&lt;&gt;0,'CHUNG TU'!I28,"")</f>
      </c>
    </row>
    <row r="38" spans="2:17" ht="12.75">
      <c r="B38" s="213">
        <f>IF($F38+$P38&lt;&gt;0,'CHUNG TU'!A29,"")</f>
      </c>
      <c r="C38" s="213">
        <f>IF($F38+$P38&lt;&gt;0,IF('CHUNG TU'!B29&lt;&gt;"",'CHUNG TU'!B29,IF('CHUNG TU'!C29&lt;&gt;"",'CHUNG TU'!C29,'CHUNG TU'!D29)),"")</f>
      </c>
      <c r="D38" s="213">
        <f>IF($F38+$P38&lt;&gt;0,'CHUNG TU'!F29,"")</f>
      </c>
      <c r="E38" s="213">
        <f>IF($F38+$P38&lt;&gt;0,'CHUNG TU'!H29,"")</f>
      </c>
      <c r="F38" s="213">
        <f>IF(LEFT('CHUNG TU'!I29,3)='CPSXKD 642_yếu tố'!$H$7,'CHUNG TU'!$L29,0)</f>
        <v>0</v>
      </c>
      <c r="G38" s="213">
        <f>IF(G$10='CHUNG TU'!$I29,'CHUNG TU'!$L29,0)</f>
        <v>0</v>
      </c>
      <c r="H38" s="213">
        <f>IF(H$10='CHUNG TU'!$I29,'CHUNG TU'!$L29,0)</f>
        <v>0</v>
      </c>
      <c r="I38" s="213">
        <f>IF(I$10='CHUNG TU'!$I29,'CHUNG TU'!$L29,0)</f>
        <v>0</v>
      </c>
      <c r="J38" s="213">
        <f>IF(J$10='CHUNG TU'!$I29,'CHUNG TU'!$L29,0)</f>
        <v>0</v>
      </c>
      <c r="K38" s="213">
        <f>IF(K$10='CHUNG TU'!$I29,'CHUNG TU'!$L29,0)</f>
        <v>0</v>
      </c>
      <c r="L38" s="213">
        <f>IF(L$10='CHUNG TU'!$I29,'CHUNG TU'!$L29,0)</f>
        <v>0</v>
      </c>
      <c r="M38" s="213">
        <f>IF(M$10='CHUNG TU'!$I29,'CHUNG TU'!$L29,0)</f>
        <v>0</v>
      </c>
      <c r="N38" s="213">
        <f>IF(N$10='CHUNG TU'!$I29,'CHUNG TU'!$L29,0)</f>
        <v>0</v>
      </c>
      <c r="O38" s="213">
        <f>IF(F38&lt;&gt;0,'CHUNG TU'!J29,"")</f>
      </c>
      <c r="P38" s="213">
        <f>IF(LEFT('CHUNG TU'!J29,3)='CPSXKD 642_yếu tố'!$H$7,'CHUNG TU'!$L29,0)</f>
        <v>0</v>
      </c>
      <c r="Q38" s="213">
        <f>IF(P38&lt;&gt;0,'CHUNG TU'!I29,"")</f>
      </c>
    </row>
    <row r="39" spans="2:17" ht="12.75">
      <c r="B39" s="213">
        <f>IF($F39+$P39&lt;&gt;0,'CHUNG TU'!A30,"")</f>
      </c>
      <c r="C39" s="213">
        <f>IF($F39+$P39&lt;&gt;0,IF('CHUNG TU'!B30&lt;&gt;"",'CHUNG TU'!B30,IF('CHUNG TU'!C30&lt;&gt;"",'CHUNG TU'!C30,'CHUNG TU'!D30)),"")</f>
      </c>
      <c r="D39" s="213">
        <f>IF($F39+$P39&lt;&gt;0,'CHUNG TU'!F30,"")</f>
      </c>
      <c r="E39" s="213">
        <f>IF($F39+$P39&lt;&gt;0,'CHUNG TU'!H30,"")</f>
      </c>
      <c r="F39" s="213">
        <f>IF(LEFT('CHUNG TU'!I30,3)='CPSXKD 642_yếu tố'!$H$7,'CHUNG TU'!$L30,0)</f>
        <v>0</v>
      </c>
      <c r="G39" s="213">
        <f>IF(G$10='CHUNG TU'!$I30,'CHUNG TU'!$L30,0)</f>
        <v>0</v>
      </c>
      <c r="H39" s="213">
        <f>IF(H$10='CHUNG TU'!$I30,'CHUNG TU'!$L30,0)</f>
        <v>0</v>
      </c>
      <c r="I39" s="213">
        <f>IF(I$10='CHUNG TU'!$I30,'CHUNG TU'!$L30,0)</f>
        <v>0</v>
      </c>
      <c r="J39" s="213">
        <f>IF(J$10='CHUNG TU'!$I30,'CHUNG TU'!$L30,0)</f>
        <v>0</v>
      </c>
      <c r="K39" s="213">
        <f>IF(K$10='CHUNG TU'!$I30,'CHUNG TU'!$L30,0)</f>
        <v>0</v>
      </c>
      <c r="L39" s="213">
        <f>IF(L$10='CHUNG TU'!$I30,'CHUNG TU'!$L30,0)</f>
        <v>0</v>
      </c>
      <c r="M39" s="213">
        <f>IF(M$10='CHUNG TU'!$I30,'CHUNG TU'!$L30,0)</f>
        <v>0</v>
      </c>
      <c r="N39" s="213">
        <f>IF(N$10='CHUNG TU'!$I30,'CHUNG TU'!$L30,0)</f>
        <v>0</v>
      </c>
      <c r="O39" s="213">
        <f>IF(F39&lt;&gt;0,'CHUNG TU'!J30,"")</f>
      </c>
      <c r="P39" s="213">
        <f>IF(LEFT('CHUNG TU'!J30,3)='CPSXKD 642_yếu tố'!$H$7,'CHUNG TU'!$L30,0)</f>
        <v>0</v>
      </c>
      <c r="Q39" s="213">
        <f>IF(P39&lt;&gt;0,'CHUNG TU'!I30,"")</f>
      </c>
    </row>
    <row r="40" spans="2:17" ht="12.75">
      <c r="B40" s="213">
        <f>IF($F40+$P40&lt;&gt;0,'CHUNG TU'!A31,"")</f>
      </c>
      <c r="C40" s="213">
        <f>IF($F40+$P40&lt;&gt;0,IF('CHUNG TU'!B31&lt;&gt;"",'CHUNG TU'!B31,IF('CHUNG TU'!C31&lt;&gt;"",'CHUNG TU'!C31,'CHUNG TU'!D31)),"")</f>
      </c>
      <c r="D40" s="213">
        <f>IF($F40+$P40&lt;&gt;0,'CHUNG TU'!F31,"")</f>
      </c>
      <c r="E40" s="213">
        <f>IF($F40+$P40&lt;&gt;0,'CHUNG TU'!H31,"")</f>
      </c>
      <c r="F40" s="213">
        <f>IF(LEFT('CHUNG TU'!I31,3)='CPSXKD 642_yếu tố'!$H$7,'CHUNG TU'!$L31,0)</f>
        <v>0</v>
      </c>
      <c r="G40" s="213">
        <f>IF(G$10='CHUNG TU'!$I31,'CHUNG TU'!$L31,0)</f>
        <v>0</v>
      </c>
      <c r="H40" s="213">
        <f>IF(H$10='CHUNG TU'!$I31,'CHUNG TU'!$L31,0)</f>
        <v>0</v>
      </c>
      <c r="I40" s="213">
        <f>IF(I$10='CHUNG TU'!$I31,'CHUNG TU'!$L31,0)</f>
        <v>0</v>
      </c>
      <c r="J40" s="213">
        <f>IF(J$10='CHUNG TU'!$I31,'CHUNG TU'!$L31,0)</f>
        <v>0</v>
      </c>
      <c r="K40" s="213">
        <f>IF(K$10='CHUNG TU'!$I31,'CHUNG TU'!$L31,0)</f>
        <v>0</v>
      </c>
      <c r="L40" s="213">
        <f>IF(L$10='CHUNG TU'!$I31,'CHUNG TU'!$L31,0)</f>
        <v>0</v>
      </c>
      <c r="M40" s="213">
        <f>IF(M$10='CHUNG TU'!$I31,'CHUNG TU'!$L31,0)</f>
        <v>0</v>
      </c>
      <c r="N40" s="213">
        <f>IF(N$10='CHUNG TU'!$I31,'CHUNG TU'!$L31,0)</f>
        <v>0</v>
      </c>
      <c r="O40" s="213">
        <f>IF(F40&lt;&gt;0,'CHUNG TU'!J31,"")</f>
      </c>
      <c r="P40" s="213">
        <f>IF(LEFT('CHUNG TU'!J31,3)='CPSXKD 642_yếu tố'!$H$7,'CHUNG TU'!$L31,0)</f>
        <v>0</v>
      </c>
      <c r="Q40" s="213">
        <f>IF(P40&lt;&gt;0,'CHUNG TU'!I31,"")</f>
      </c>
    </row>
    <row r="41" spans="2:17" ht="12.75">
      <c r="B41" s="213">
        <f>IF($F41+$P41&lt;&gt;0,'CHUNG TU'!A32,"")</f>
      </c>
      <c r="C41" s="213">
        <f>IF($F41+$P41&lt;&gt;0,IF('CHUNG TU'!B32&lt;&gt;"",'CHUNG TU'!B32,IF('CHUNG TU'!C32&lt;&gt;"",'CHUNG TU'!C32,'CHUNG TU'!D32)),"")</f>
      </c>
      <c r="D41" s="213">
        <f>IF($F41+$P41&lt;&gt;0,'CHUNG TU'!F32,"")</f>
      </c>
      <c r="E41" s="213">
        <f>IF($F41+$P41&lt;&gt;0,'CHUNG TU'!H32,"")</f>
      </c>
      <c r="F41" s="213">
        <f>IF(LEFT('CHUNG TU'!I32,3)='CPSXKD 642_yếu tố'!$H$7,'CHUNG TU'!$L32,0)</f>
        <v>0</v>
      </c>
      <c r="G41" s="213">
        <f>IF(G$10='CHUNG TU'!$I32,'CHUNG TU'!$L32,0)</f>
        <v>0</v>
      </c>
      <c r="H41" s="213">
        <f>IF(H$10='CHUNG TU'!$I32,'CHUNG TU'!$L32,0)</f>
        <v>0</v>
      </c>
      <c r="I41" s="213">
        <f>IF(I$10='CHUNG TU'!$I32,'CHUNG TU'!$L32,0)</f>
        <v>0</v>
      </c>
      <c r="J41" s="213">
        <f>IF(J$10='CHUNG TU'!$I32,'CHUNG TU'!$L32,0)</f>
        <v>0</v>
      </c>
      <c r="K41" s="213">
        <f>IF(K$10='CHUNG TU'!$I32,'CHUNG TU'!$L32,0)</f>
        <v>0</v>
      </c>
      <c r="L41" s="213">
        <f>IF(L$10='CHUNG TU'!$I32,'CHUNG TU'!$L32,0)</f>
        <v>0</v>
      </c>
      <c r="M41" s="213">
        <f>IF(M$10='CHUNG TU'!$I32,'CHUNG TU'!$L32,0)</f>
        <v>0</v>
      </c>
      <c r="N41" s="213">
        <f>IF(N$10='CHUNG TU'!$I32,'CHUNG TU'!$L32,0)</f>
        <v>0</v>
      </c>
      <c r="O41" s="213">
        <f>IF(F41&lt;&gt;0,'CHUNG TU'!J32,"")</f>
      </c>
      <c r="P41" s="213">
        <f>IF(LEFT('CHUNG TU'!J32,3)='CPSXKD 642_yếu tố'!$H$7,'CHUNG TU'!$L32,0)</f>
        <v>0</v>
      </c>
      <c r="Q41" s="213">
        <f>IF(P41&lt;&gt;0,'CHUNG TU'!I32,"")</f>
      </c>
    </row>
    <row r="42" spans="2:17" ht="12.75">
      <c r="B42" s="213">
        <f>IF($F42+$P42&lt;&gt;0,'CHUNG TU'!A33,"")</f>
      </c>
      <c r="C42" s="213">
        <f>IF($F42+$P42&lt;&gt;0,IF('CHUNG TU'!B33&lt;&gt;"",'CHUNG TU'!B33,IF('CHUNG TU'!C33&lt;&gt;"",'CHUNG TU'!C33,'CHUNG TU'!D33)),"")</f>
      </c>
      <c r="D42" s="213">
        <f>IF($F42+$P42&lt;&gt;0,'CHUNG TU'!F33,"")</f>
      </c>
      <c r="E42" s="213">
        <f>IF($F42+$P42&lt;&gt;0,'CHUNG TU'!H33,"")</f>
      </c>
      <c r="F42" s="213">
        <f>IF(LEFT('CHUNG TU'!I33,3)='CPSXKD 642_yếu tố'!$H$7,'CHUNG TU'!$L33,0)</f>
        <v>0</v>
      </c>
      <c r="G42" s="213">
        <f>IF(G$10='CHUNG TU'!$I33,'CHUNG TU'!$L33,0)</f>
        <v>0</v>
      </c>
      <c r="H42" s="213">
        <f>IF(H$10='CHUNG TU'!$I33,'CHUNG TU'!$L33,0)</f>
        <v>0</v>
      </c>
      <c r="I42" s="213">
        <f>IF(I$10='CHUNG TU'!$I33,'CHUNG TU'!$L33,0)</f>
        <v>0</v>
      </c>
      <c r="J42" s="213">
        <f>IF(J$10='CHUNG TU'!$I33,'CHUNG TU'!$L33,0)</f>
        <v>0</v>
      </c>
      <c r="K42" s="213">
        <f>IF(K$10='CHUNG TU'!$I33,'CHUNG TU'!$L33,0)</f>
        <v>0</v>
      </c>
      <c r="L42" s="213">
        <f>IF(L$10='CHUNG TU'!$I33,'CHUNG TU'!$L33,0)</f>
        <v>0</v>
      </c>
      <c r="M42" s="213">
        <f>IF(M$10='CHUNG TU'!$I33,'CHUNG TU'!$L33,0)</f>
        <v>0</v>
      </c>
      <c r="N42" s="213">
        <f>IF(N$10='CHUNG TU'!$I33,'CHUNG TU'!$L33,0)</f>
        <v>0</v>
      </c>
      <c r="O42" s="213">
        <f>IF(F42&lt;&gt;0,'CHUNG TU'!J33,"")</f>
      </c>
      <c r="P42" s="213">
        <f>IF(LEFT('CHUNG TU'!J33,3)='CPSXKD 642_yếu tố'!$H$7,'CHUNG TU'!$L33,0)</f>
        <v>0</v>
      </c>
      <c r="Q42" s="213">
        <f>IF(P42&lt;&gt;0,'CHUNG TU'!I33,"")</f>
      </c>
    </row>
    <row r="43" spans="2:17" ht="12.75">
      <c r="B43" s="213">
        <f>IF($F43+$P43&lt;&gt;0,'CHUNG TU'!A34,"")</f>
      </c>
      <c r="C43" s="213">
        <f>IF($F43+$P43&lt;&gt;0,IF('CHUNG TU'!B34&lt;&gt;"",'CHUNG TU'!B34,IF('CHUNG TU'!C34&lt;&gt;"",'CHUNG TU'!C34,'CHUNG TU'!D34)),"")</f>
      </c>
      <c r="D43" s="213">
        <f>IF($F43+$P43&lt;&gt;0,'CHUNG TU'!F34,"")</f>
      </c>
      <c r="E43" s="213">
        <f>IF($F43+$P43&lt;&gt;0,'CHUNG TU'!H34,"")</f>
      </c>
      <c r="F43" s="213">
        <f>IF(LEFT('CHUNG TU'!I34,3)='CPSXKD 642_yếu tố'!$H$7,'CHUNG TU'!$L34,0)</f>
        <v>0</v>
      </c>
      <c r="G43" s="213">
        <f>IF(G$10='CHUNG TU'!$I34,'CHUNG TU'!$L34,0)</f>
        <v>0</v>
      </c>
      <c r="H43" s="213">
        <f>IF(H$10='CHUNG TU'!$I34,'CHUNG TU'!$L34,0)</f>
        <v>0</v>
      </c>
      <c r="I43" s="213">
        <f>IF(I$10='CHUNG TU'!$I34,'CHUNG TU'!$L34,0)</f>
        <v>0</v>
      </c>
      <c r="J43" s="213">
        <f>IF(J$10='CHUNG TU'!$I34,'CHUNG TU'!$L34,0)</f>
        <v>0</v>
      </c>
      <c r="K43" s="213">
        <f>IF(K$10='CHUNG TU'!$I34,'CHUNG TU'!$L34,0)</f>
        <v>0</v>
      </c>
      <c r="L43" s="213">
        <f>IF(L$10='CHUNG TU'!$I34,'CHUNG TU'!$L34,0)</f>
        <v>0</v>
      </c>
      <c r="M43" s="213">
        <f>IF(M$10='CHUNG TU'!$I34,'CHUNG TU'!$L34,0)</f>
        <v>0</v>
      </c>
      <c r="N43" s="213">
        <f>IF(N$10='CHUNG TU'!$I34,'CHUNG TU'!$L34,0)</f>
        <v>0</v>
      </c>
      <c r="O43" s="213">
        <f>IF(F43&lt;&gt;0,'CHUNG TU'!J34,"")</f>
      </c>
      <c r="P43" s="213">
        <f>IF(LEFT('CHUNG TU'!J34,3)='CPSXKD 642_yếu tố'!$H$7,'CHUNG TU'!$L34,0)</f>
        <v>0</v>
      </c>
      <c r="Q43" s="213">
        <f>IF(P43&lt;&gt;0,'CHUNG TU'!I34,"")</f>
      </c>
    </row>
    <row r="44" spans="2:17" ht="12.75">
      <c r="B44" s="213">
        <f>IF($F44+$P44&lt;&gt;0,'CHUNG TU'!A35,"")</f>
      </c>
      <c r="C44" s="213">
        <f>IF($F44+$P44&lt;&gt;0,IF('CHUNG TU'!B35&lt;&gt;"",'CHUNG TU'!B35,IF('CHUNG TU'!C35&lt;&gt;"",'CHUNG TU'!C35,'CHUNG TU'!D35)),"")</f>
      </c>
      <c r="D44" s="213">
        <f>IF($F44+$P44&lt;&gt;0,'CHUNG TU'!F35,"")</f>
      </c>
      <c r="E44" s="213">
        <f>IF($F44+$P44&lt;&gt;0,'CHUNG TU'!H35,"")</f>
      </c>
      <c r="F44" s="213">
        <f>IF(LEFT('CHUNG TU'!I35,3)='CPSXKD 642_yếu tố'!$H$7,'CHUNG TU'!$L35,0)</f>
        <v>0</v>
      </c>
      <c r="G44" s="213">
        <f>IF(G$10='CHUNG TU'!$I35,'CHUNG TU'!$L35,0)</f>
        <v>0</v>
      </c>
      <c r="H44" s="213">
        <f>IF(H$10='CHUNG TU'!$I35,'CHUNG TU'!$L35,0)</f>
        <v>0</v>
      </c>
      <c r="I44" s="213">
        <f>IF(I$10='CHUNG TU'!$I35,'CHUNG TU'!$L35,0)</f>
        <v>0</v>
      </c>
      <c r="J44" s="213">
        <f>IF(J$10='CHUNG TU'!$I35,'CHUNG TU'!$L35,0)</f>
        <v>0</v>
      </c>
      <c r="K44" s="213">
        <f>IF(K$10='CHUNG TU'!$I35,'CHUNG TU'!$L35,0)</f>
        <v>0</v>
      </c>
      <c r="L44" s="213">
        <f>IF(L$10='CHUNG TU'!$I35,'CHUNG TU'!$L35,0)</f>
        <v>0</v>
      </c>
      <c r="M44" s="213">
        <f>IF(M$10='CHUNG TU'!$I35,'CHUNG TU'!$L35,0)</f>
        <v>0</v>
      </c>
      <c r="N44" s="213">
        <f>IF(N$10='CHUNG TU'!$I35,'CHUNG TU'!$L35,0)</f>
        <v>0</v>
      </c>
      <c r="O44" s="213">
        <f>IF(F44&lt;&gt;0,'CHUNG TU'!J35,"")</f>
      </c>
      <c r="P44" s="213">
        <f>IF(LEFT('CHUNG TU'!J35,3)='CPSXKD 642_yếu tố'!$H$7,'CHUNG TU'!$L35,0)</f>
        <v>0</v>
      </c>
      <c r="Q44" s="213">
        <f>IF(P44&lt;&gt;0,'CHUNG TU'!I35,"")</f>
      </c>
    </row>
    <row r="45" spans="2:17" ht="12.75">
      <c r="B45" s="213">
        <f>IF($F45+$P45&lt;&gt;0,'CHUNG TU'!A36,"")</f>
      </c>
      <c r="C45" s="213">
        <f>IF($F45+$P45&lt;&gt;0,IF('CHUNG TU'!B36&lt;&gt;"",'CHUNG TU'!B36,IF('CHUNG TU'!C36&lt;&gt;"",'CHUNG TU'!C36,'CHUNG TU'!D36)),"")</f>
      </c>
      <c r="D45" s="213">
        <f>IF($F45+$P45&lt;&gt;0,'CHUNG TU'!F36,"")</f>
      </c>
      <c r="E45" s="213">
        <f>IF($F45+$P45&lt;&gt;0,'CHUNG TU'!H36,"")</f>
      </c>
      <c r="F45" s="213">
        <f>IF(LEFT('CHUNG TU'!I36,3)='CPSXKD 642_yếu tố'!$H$7,'CHUNG TU'!$L36,0)</f>
        <v>0</v>
      </c>
      <c r="G45" s="213">
        <f>IF(G$10='CHUNG TU'!$I36,'CHUNG TU'!$L36,0)</f>
        <v>0</v>
      </c>
      <c r="H45" s="213">
        <f>IF(H$10='CHUNG TU'!$I36,'CHUNG TU'!$L36,0)</f>
        <v>0</v>
      </c>
      <c r="I45" s="213">
        <f>IF(I$10='CHUNG TU'!$I36,'CHUNG TU'!$L36,0)</f>
        <v>0</v>
      </c>
      <c r="J45" s="213">
        <f>IF(J$10='CHUNG TU'!$I36,'CHUNG TU'!$L36,0)</f>
        <v>0</v>
      </c>
      <c r="K45" s="213">
        <f>IF(K$10='CHUNG TU'!$I36,'CHUNG TU'!$L36,0)</f>
        <v>0</v>
      </c>
      <c r="L45" s="213">
        <f>IF(L$10='CHUNG TU'!$I36,'CHUNG TU'!$L36,0)</f>
        <v>0</v>
      </c>
      <c r="M45" s="213">
        <f>IF(M$10='CHUNG TU'!$I36,'CHUNG TU'!$L36,0)</f>
        <v>0</v>
      </c>
      <c r="N45" s="213">
        <f>IF(N$10='CHUNG TU'!$I36,'CHUNG TU'!$L36,0)</f>
        <v>0</v>
      </c>
      <c r="O45" s="213">
        <f>IF(F45&lt;&gt;0,'CHUNG TU'!J36,"")</f>
      </c>
      <c r="P45" s="213">
        <f>IF(LEFT('CHUNG TU'!J36,3)='CPSXKD 642_yếu tố'!$H$7,'CHUNG TU'!$L36,0)</f>
        <v>0</v>
      </c>
      <c r="Q45" s="213">
        <f>IF(P45&lt;&gt;0,'CHUNG TU'!I36,"")</f>
      </c>
    </row>
    <row r="46" spans="2:17" ht="12.75">
      <c r="B46" s="213">
        <f>IF($F46+$P46&lt;&gt;0,'CHUNG TU'!A37,"")</f>
      </c>
      <c r="C46" s="213">
        <f>IF($F46+$P46&lt;&gt;0,IF('CHUNG TU'!B37&lt;&gt;"",'CHUNG TU'!B37,IF('CHUNG TU'!C37&lt;&gt;"",'CHUNG TU'!C37,'CHUNG TU'!D37)),"")</f>
      </c>
      <c r="D46" s="213">
        <f>IF($F46+$P46&lt;&gt;0,'CHUNG TU'!F37,"")</f>
      </c>
      <c r="E46" s="213">
        <f>IF($F46+$P46&lt;&gt;0,'CHUNG TU'!H37,"")</f>
      </c>
      <c r="F46" s="213">
        <f>IF(LEFT('CHUNG TU'!I37,3)='CPSXKD 642_yếu tố'!$H$7,'CHUNG TU'!$L37,0)</f>
        <v>0</v>
      </c>
      <c r="G46" s="213">
        <f>IF(G$10='CHUNG TU'!$I37,'CHUNG TU'!$L37,0)</f>
        <v>0</v>
      </c>
      <c r="H46" s="213">
        <f>IF(H$10='CHUNG TU'!$I37,'CHUNG TU'!$L37,0)</f>
        <v>0</v>
      </c>
      <c r="I46" s="213">
        <f>IF(I$10='CHUNG TU'!$I37,'CHUNG TU'!$L37,0)</f>
        <v>0</v>
      </c>
      <c r="J46" s="213">
        <f>IF(J$10='CHUNG TU'!$I37,'CHUNG TU'!$L37,0)</f>
        <v>0</v>
      </c>
      <c r="K46" s="213">
        <f>IF(K$10='CHUNG TU'!$I37,'CHUNG TU'!$L37,0)</f>
        <v>0</v>
      </c>
      <c r="L46" s="213">
        <f>IF(L$10='CHUNG TU'!$I37,'CHUNG TU'!$L37,0)</f>
        <v>0</v>
      </c>
      <c r="M46" s="213">
        <f>IF(M$10='CHUNG TU'!$I37,'CHUNG TU'!$L37,0)</f>
        <v>0</v>
      </c>
      <c r="N46" s="213">
        <f>IF(N$10='CHUNG TU'!$I37,'CHUNG TU'!$L37,0)</f>
        <v>0</v>
      </c>
      <c r="O46" s="213">
        <f>IF(F46&lt;&gt;0,'CHUNG TU'!J37,"")</f>
      </c>
      <c r="P46" s="213">
        <f>IF(LEFT('CHUNG TU'!J37,3)='CPSXKD 642_yếu tố'!$H$7,'CHUNG TU'!$L37,0)</f>
        <v>0</v>
      </c>
      <c r="Q46" s="213">
        <f>IF(P46&lt;&gt;0,'CHUNG TU'!I37,"")</f>
      </c>
    </row>
    <row r="47" spans="2:17" ht="12.75">
      <c r="B47" s="213">
        <f>IF($F47+$P47&lt;&gt;0,'CHUNG TU'!A38,"")</f>
      </c>
      <c r="C47" s="213">
        <f>IF($F47+$P47&lt;&gt;0,IF('CHUNG TU'!B38&lt;&gt;"",'CHUNG TU'!B38,IF('CHUNG TU'!C38&lt;&gt;"",'CHUNG TU'!C38,'CHUNG TU'!D38)),"")</f>
      </c>
      <c r="D47" s="213">
        <f>IF($F47+$P47&lt;&gt;0,'CHUNG TU'!F38,"")</f>
      </c>
      <c r="E47" s="213">
        <f>IF($F47+$P47&lt;&gt;0,'CHUNG TU'!H38,"")</f>
      </c>
      <c r="F47" s="213">
        <f>IF(LEFT('CHUNG TU'!I38,3)='CPSXKD 642_yếu tố'!$H$7,'CHUNG TU'!$L38,0)</f>
        <v>0</v>
      </c>
      <c r="G47" s="213">
        <f>IF(G$10='CHUNG TU'!$I38,'CHUNG TU'!$L38,0)</f>
        <v>0</v>
      </c>
      <c r="H47" s="213">
        <f>IF(H$10='CHUNG TU'!$I38,'CHUNG TU'!$L38,0)</f>
        <v>0</v>
      </c>
      <c r="I47" s="213">
        <f>IF(I$10='CHUNG TU'!$I38,'CHUNG TU'!$L38,0)</f>
        <v>0</v>
      </c>
      <c r="J47" s="213">
        <f>IF(J$10='CHUNG TU'!$I38,'CHUNG TU'!$L38,0)</f>
        <v>0</v>
      </c>
      <c r="K47" s="213">
        <f>IF(K$10='CHUNG TU'!$I38,'CHUNG TU'!$L38,0)</f>
        <v>0</v>
      </c>
      <c r="L47" s="213">
        <f>IF(L$10='CHUNG TU'!$I38,'CHUNG TU'!$L38,0)</f>
        <v>0</v>
      </c>
      <c r="M47" s="213">
        <f>IF(M$10='CHUNG TU'!$I38,'CHUNG TU'!$L38,0)</f>
        <v>0</v>
      </c>
      <c r="N47" s="213">
        <f>IF(N$10='CHUNG TU'!$I38,'CHUNG TU'!$L38,0)</f>
        <v>0</v>
      </c>
      <c r="O47" s="213">
        <f>IF(F47&lt;&gt;0,'CHUNG TU'!J38,"")</f>
      </c>
      <c r="P47" s="213">
        <f>IF(LEFT('CHUNG TU'!J38,3)='CPSXKD 642_yếu tố'!$H$7,'CHUNG TU'!$L38,0)</f>
        <v>0</v>
      </c>
      <c r="Q47" s="213">
        <f>IF(P47&lt;&gt;0,'CHUNG TU'!I38,"")</f>
      </c>
    </row>
    <row r="48" spans="2:17" ht="12.75">
      <c r="B48" s="213">
        <f>IF($F48+$P48&lt;&gt;0,'CHUNG TU'!A39,"")</f>
      </c>
      <c r="C48" s="213">
        <f>IF($F48+$P48&lt;&gt;0,IF('CHUNG TU'!B39&lt;&gt;"",'CHUNG TU'!B39,IF('CHUNG TU'!C39&lt;&gt;"",'CHUNG TU'!C39,'CHUNG TU'!D39)),"")</f>
      </c>
      <c r="D48" s="213">
        <f>IF($F48+$P48&lt;&gt;0,'CHUNG TU'!F39,"")</f>
      </c>
      <c r="E48" s="213">
        <f>IF($F48+$P48&lt;&gt;0,'CHUNG TU'!H39,"")</f>
      </c>
      <c r="F48" s="213">
        <f>IF(LEFT('CHUNG TU'!I39,3)='CPSXKD 642_yếu tố'!$H$7,'CHUNG TU'!$L39,0)</f>
        <v>0</v>
      </c>
      <c r="G48" s="213">
        <f>IF(G$10='CHUNG TU'!$I39,'CHUNG TU'!$L39,0)</f>
        <v>0</v>
      </c>
      <c r="H48" s="213">
        <f>IF(H$10='CHUNG TU'!$I39,'CHUNG TU'!$L39,0)</f>
        <v>0</v>
      </c>
      <c r="I48" s="213">
        <f>IF(I$10='CHUNG TU'!$I39,'CHUNG TU'!$L39,0)</f>
        <v>0</v>
      </c>
      <c r="J48" s="213">
        <f>IF(J$10='CHUNG TU'!$I39,'CHUNG TU'!$L39,0)</f>
        <v>0</v>
      </c>
      <c r="K48" s="213">
        <f>IF(K$10='CHUNG TU'!$I39,'CHUNG TU'!$L39,0)</f>
        <v>0</v>
      </c>
      <c r="L48" s="213">
        <f>IF(L$10='CHUNG TU'!$I39,'CHUNG TU'!$L39,0)</f>
        <v>0</v>
      </c>
      <c r="M48" s="213">
        <f>IF(M$10='CHUNG TU'!$I39,'CHUNG TU'!$L39,0)</f>
        <v>0</v>
      </c>
      <c r="N48" s="213">
        <f>IF(N$10='CHUNG TU'!$I39,'CHUNG TU'!$L39,0)</f>
        <v>0</v>
      </c>
      <c r="O48" s="213">
        <f>IF(F48&lt;&gt;0,'CHUNG TU'!J39,"")</f>
      </c>
      <c r="P48" s="213">
        <f>IF(LEFT('CHUNG TU'!J39,3)='CPSXKD 642_yếu tố'!$H$7,'CHUNG TU'!$L39,0)</f>
        <v>0</v>
      </c>
      <c r="Q48" s="213">
        <f>IF(P48&lt;&gt;0,'CHUNG TU'!I39,"")</f>
      </c>
    </row>
    <row r="49" spans="2:17" ht="12.75">
      <c r="B49" s="213">
        <f>IF($F49+$P49&lt;&gt;0,'CHUNG TU'!A40,"")</f>
      </c>
      <c r="C49" s="213">
        <f>IF($F49+$P49&lt;&gt;0,IF('CHUNG TU'!B40&lt;&gt;"",'CHUNG TU'!B40,IF('CHUNG TU'!C40&lt;&gt;"",'CHUNG TU'!C40,'CHUNG TU'!D40)),"")</f>
      </c>
      <c r="D49" s="213">
        <f>IF($F49+$P49&lt;&gt;0,'CHUNG TU'!F40,"")</f>
      </c>
      <c r="E49" s="213">
        <f>IF($F49+$P49&lt;&gt;0,'CHUNG TU'!H40,"")</f>
      </c>
      <c r="F49" s="213">
        <f>IF(LEFT('CHUNG TU'!I40,3)='CPSXKD 642_yếu tố'!$H$7,'CHUNG TU'!$L40,0)</f>
        <v>0</v>
      </c>
      <c r="G49" s="213">
        <f>IF(G$10='CHUNG TU'!$I40,'CHUNG TU'!$L40,0)</f>
        <v>0</v>
      </c>
      <c r="H49" s="213">
        <f>IF(H$10='CHUNG TU'!$I40,'CHUNG TU'!$L40,0)</f>
        <v>0</v>
      </c>
      <c r="I49" s="213">
        <f>IF(I$10='CHUNG TU'!$I40,'CHUNG TU'!$L40,0)</f>
        <v>0</v>
      </c>
      <c r="J49" s="213">
        <f>IF(J$10='CHUNG TU'!$I40,'CHUNG TU'!$L40,0)</f>
        <v>0</v>
      </c>
      <c r="K49" s="213">
        <f>IF(K$10='CHUNG TU'!$I40,'CHUNG TU'!$L40,0)</f>
        <v>0</v>
      </c>
      <c r="L49" s="213">
        <f>IF(L$10='CHUNG TU'!$I40,'CHUNG TU'!$L40,0)</f>
        <v>0</v>
      </c>
      <c r="M49" s="213">
        <f>IF(M$10='CHUNG TU'!$I40,'CHUNG TU'!$L40,0)</f>
        <v>0</v>
      </c>
      <c r="N49" s="213">
        <f>IF(N$10='CHUNG TU'!$I40,'CHUNG TU'!$L40,0)</f>
        <v>0</v>
      </c>
      <c r="O49" s="213">
        <f>IF(F49&lt;&gt;0,'CHUNG TU'!J40,"")</f>
      </c>
      <c r="P49" s="213">
        <f>IF(LEFT('CHUNG TU'!J40,3)='CPSXKD 642_yếu tố'!$H$7,'CHUNG TU'!$L40,0)</f>
        <v>0</v>
      </c>
      <c r="Q49" s="213">
        <f>IF(P49&lt;&gt;0,'CHUNG TU'!I40,"")</f>
      </c>
    </row>
    <row r="50" spans="2:17" ht="12.75">
      <c r="B50" s="213">
        <f>IF($F50+$P50&lt;&gt;0,'CHUNG TU'!A41,"")</f>
      </c>
      <c r="C50" s="213">
        <f>IF($F50+$P50&lt;&gt;0,IF('CHUNG TU'!B41&lt;&gt;"",'CHUNG TU'!B41,IF('CHUNG TU'!C41&lt;&gt;"",'CHUNG TU'!C41,'CHUNG TU'!D41)),"")</f>
      </c>
      <c r="D50" s="213">
        <f>IF($F50+$P50&lt;&gt;0,'CHUNG TU'!F41,"")</f>
      </c>
      <c r="E50" s="213">
        <f>IF($F50+$P50&lt;&gt;0,'CHUNG TU'!H41,"")</f>
      </c>
      <c r="F50" s="213">
        <f>IF(LEFT('CHUNG TU'!I41,3)='CPSXKD 642_yếu tố'!$H$7,'CHUNG TU'!$L41,0)</f>
        <v>0</v>
      </c>
      <c r="G50" s="213">
        <f>IF(G$10='CHUNG TU'!$I41,'CHUNG TU'!$L41,0)</f>
        <v>0</v>
      </c>
      <c r="H50" s="213">
        <f>IF(H$10='CHUNG TU'!$I41,'CHUNG TU'!$L41,0)</f>
        <v>0</v>
      </c>
      <c r="I50" s="213">
        <f>IF(I$10='CHUNG TU'!$I41,'CHUNG TU'!$L41,0)</f>
        <v>0</v>
      </c>
      <c r="J50" s="213">
        <f>IF(J$10='CHUNG TU'!$I41,'CHUNG TU'!$L41,0)</f>
        <v>0</v>
      </c>
      <c r="K50" s="213">
        <f>IF(K$10='CHUNG TU'!$I41,'CHUNG TU'!$L41,0)</f>
        <v>0</v>
      </c>
      <c r="L50" s="213">
        <f>IF(L$10='CHUNG TU'!$I41,'CHUNG TU'!$L41,0)</f>
        <v>0</v>
      </c>
      <c r="M50" s="213">
        <f>IF(M$10='CHUNG TU'!$I41,'CHUNG TU'!$L41,0)</f>
        <v>0</v>
      </c>
      <c r="N50" s="213">
        <f>IF(N$10='CHUNG TU'!$I41,'CHUNG TU'!$L41,0)</f>
        <v>0</v>
      </c>
      <c r="O50" s="213">
        <f>IF(F50&lt;&gt;0,'CHUNG TU'!J41,"")</f>
      </c>
      <c r="P50" s="213">
        <f>IF(LEFT('CHUNG TU'!J41,3)='CPSXKD 642_yếu tố'!$H$7,'CHUNG TU'!$L41,0)</f>
        <v>0</v>
      </c>
      <c r="Q50" s="213">
        <f>IF(P50&lt;&gt;0,'CHUNG TU'!I41,"")</f>
      </c>
    </row>
    <row r="51" spans="2:17" ht="12.75">
      <c r="B51" s="213" t="str">
        <f>IF($F51+$P51&lt;&gt;0,'CHUNG TU'!A42,"")</f>
        <v>12/10/2015</v>
      </c>
      <c r="C51" s="213" t="str">
        <f>IF($F51+$P51&lt;&gt;0,IF('CHUNG TU'!B42&lt;&gt;"",'CHUNG TU'!B42,IF('CHUNG TU'!C42&lt;&gt;"",'CHUNG TU'!C42,'CHUNG TU'!D42)),"")</f>
        <v>PC10/013</v>
      </c>
      <c r="D51" s="213" t="str">
        <f>IF($F51+$P51&lt;&gt;0,'CHUNG TU'!F42,"")</f>
        <v>12/10/2015</v>
      </c>
      <c r="E51" s="213" t="str">
        <f>IF($F51+$P51&lt;&gt;0,'CHUNG TU'!H42,"")</f>
        <v>Chi bảo dưỡng thiết bị máy móc văn phòng</v>
      </c>
      <c r="F51" s="213">
        <f>IF(LEFT('CHUNG TU'!I42,3)='CPSXKD 642_yếu tố'!$H$7,'CHUNG TU'!$L42,0)</f>
        <v>500000</v>
      </c>
      <c r="G51" s="213">
        <f>IF(G$10='CHUNG TU'!$I42,'CHUNG TU'!$L42,0)</f>
        <v>0</v>
      </c>
      <c r="H51" s="213">
        <f>IF(H$10='CHUNG TU'!$I42,'CHUNG TU'!$L42,0)</f>
        <v>0</v>
      </c>
      <c r="I51" s="213">
        <f>IF(I$10='CHUNG TU'!$I42,'CHUNG TU'!$L42,0)</f>
        <v>0</v>
      </c>
      <c r="J51" s="213">
        <f>IF(J$10='CHUNG TU'!$I42,'CHUNG TU'!$L42,0)</f>
        <v>0</v>
      </c>
      <c r="K51" s="213">
        <f>IF(K$10='CHUNG TU'!$I42,'CHUNG TU'!$L42,0)</f>
        <v>0</v>
      </c>
      <c r="L51" s="213">
        <f>IF(L$10='CHUNG TU'!$I42,'CHUNG TU'!$L42,0)</f>
        <v>0</v>
      </c>
      <c r="M51" s="213">
        <f>IF(M$10='CHUNG TU'!$I42,'CHUNG TU'!$L42,0)</f>
        <v>500000</v>
      </c>
      <c r="N51" s="213">
        <f>IF(N$10='CHUNG TU'!$I42,'CHUNG TU'!$L42,0)</f>
        <v>0</v>
      </c>
      <c r="O51" s="213" t="str">
        <f>IF(F51&lt;&gt;0,'CHUNG TU'!J42,"")</f>
        <v>1111</v>
      </c>
      <c r="P51" s="213">
        <f>IF(LEFT('CHUNG TU'!J42,3)='CPSXKD 642_yếu tố'!$H$7,'CHUNG TU'!$L42,0)</f>
        <v>0</v>
      </c>
      <c r="Q51" s="213">
        <f>IF(P51&lt;&gt;0,'CHUNG TU'!I42,"")</f>
      </c>
    </row>
    <row r="52" spans="2:17" ht="12.75">
      <c r="B52" s="213">
        <f>IF($F52+$P52&lt;&gt;0,'CHUNG TU'!A43,"")</f>
      </c>
      <c r="C52" s="213">
        <f>IF($F52+$P52&lt;&gt;0,IF('CHUNG TU'!B43&lt;&gt;"",'CHUNG TU'!B43,IF('CHUNG TU'!C43&lt;&gt;"",'CHUNG TU'!C43,'CHUNG TU'!D43)),"")</f>
      </c>
      <c r="D52" s="213">
        <f>IF($F52+$P52&lt;&gt;0,'CHUNG TU'!F43,"")</f>
      </c>
      <c r="E52" s="213">
        <f>IF($F52+$P52&lt;&gt;0,'CHUNG TU'!H43,"")</f>
      </c>
      <c r="F52" s="213">
        <f>IF(LEFT('CHUNG TU'!I43,3)='CPSXKD 642_yếu tố'!$H$7,'CHUNG TU'!$L43,0)</f>
        <v>0</v>
      </c>
      <c r="G52" s="213">
        <f>IF(G$10='CHUNG TU'!$I43,'CHUNG TU'!$L43,0)</f>
        <v>0</v>
      </c>
      <c r="H52" s="213">
        <f>IF(H$10='CHUNG TU'!$I43,'CHUNG TU'!$L43,0)</f>
        <v>0</v>
      </c>
      <c r="I52" s="213">
        <f>IF(I$10='CHUNG TU'!$I43,'CHUNG TU'!$L43,0)</f>
        <v>0</v>
      </c>
      <c r="J52" s="213">
        <f>IF(J$10='CHUNG TU'!$I43,'CHUNG TU'!$L43,0)</f>
        <v>0</v>
      </c>
      <c r="K52" s="213">
        <f>IF(K$10='CHUNG TU'!$I43,'CHUNG TU'!$L43,0)</f>
        <v>0</v>
      </c>
      <c r="L52" s="213">
        <f>IF(L$10='CHUNG TU'!$I43,'CHUNG TU'!$L43,0)</f>
        <v>0</v>
      </c>
      <c r="M52" s="213">
        <f>IF(M$10='CHUNG TU'!$I43,'CHUNG TU'!$L43,0)</f>
        <v>0</v>
      </c>
      <c r="N52" s="213">
        <f>IF(N$10='CHUNG TU'!$I43,'CHUNG TU'!$L43,0)</f>
        <v>0</v>
      </c>
      <c r="O52" s="213">
        <f>IF(F52&lt;&gt;0,'CHUNG TU'!J43,"")</f>
      </c>
      <c r="P52" s="213">
        <f>IF(LEFT('CHUNG TU'!J43,3)='CPSXKD 642_yếu tố'!$H$7,'CHUNG TU'!$L43,0)</f>
        <v>0</v>
      </c>
      <c r="Q52" s="213">
        <f>IF(P52&lt;&gt;0,'CHUNG TU'!I43,"")</f>
      </c>
    </row>
    <row r="53" spans="2:17" ht="12.75">
      <c r="B53" s="213">
        <f>IF($F53+$P53&lt;&gt;0,'CHUNG TU'!A44,"")</f>
      </c>
      <c r="C53" s="213">
        <f>IF($F53+$P53&lt;&gt;0,IF('CHUNG TU'!B44&lt;&gt;"",'CHUNG TU'!B44,IF('CHUNG TU'!C44&lt;&gt;"",'CHUNG TU'!C44,'CHUNG TU'!D44)),"")</f>
      </c>
      <c r="D53" s="213">
        <f>IF($F53+$P53&lt;&gt;0,'CHUNG TU'!F44,"")</f>
      </c>
      <c r="E53" s="213">
        <f>IF($F53+$P53&lt;&gt;0,'CHUNG TU'!H44,"")</f>
      </c>
      <c r="F53" s="213">
        <f>IF(LEFT('CHUNG TU'!I44,3)='CPSXKD 642_yếu tố'!$H$7,'CHUNG TU'!$L44,0)</f>
        <v>0</v>
      </c>
      <c r="G53" s="213">
        <f>IF(G$10='CHUNG TU'!$I44,'CHUNG TU'!$L44,0)</f>
        <v>0</v>
      </c>
      <c r="H53" s="213">
        <f>IF(H$10='CHUNG TU'!$I44,'CHUNG TU'!$L44,0)</f>
        <v>0</v>
      </c>
      <c r="I53" s="213">
        <f>IF(I$10='CHUNG TU'!$I44,'CHUNG TU'!$L44,0)</f>
        <v>0</v>
      </c>
      <c r="J53" s="213">
        <f>IF(J$10='CHUNG TU'!$I44,'CHUNG TU'!$L44,0)</f>
        <v>0</v>
      </c>
      <c r="K53" s="213">
        <f>IF(K$10='CHUNG TU'!$I44,'CHUNG TU'!$L44,0)</f>
        <v>0</v>
      </c>
      <c r="L53" s="213">
        <f>IF(L$10='CHUNG TU'!$I44,'CHUNG TU'!$L44,0)</f>
        <v>0</v>
      </c>
      <c r="M53" s="213">
        <f>IF(M$10='CHUNG TU'!$I44,'CHUNG TU'!$L44,0)</f>
        <v>0</v>
      </c>
      <c r="N53" s="213">
        <f>IF(N$10='CHUNG TU'!$I44,'CHUNG TU'!$L44,0)</f>
        <v>0</v>
      </c>
      <c r="O53" s="213">
        <f>IF(F53&lt;&gt;0,'CHUNG TU'!J44,"")</f>
      </c>
      <c r="P53" s="213">
        <f>IF(LEFT('CHUNG TU'!J44,3)='CPSXKD 642_yếu tố'!$H$7,'CHUNG TU'!$L44,0)</f>
        <v>0</v>
      </c>
      <c r="Q53" s="213">
        <f>IF(P53&lt;&gt;0,'CHUNG TU'!I44,"")</f>
      </c>
    </row>
    <row r="54" spans="2:17" ht="12.75">
      <c r="B54" s="213">
        <f>IF($F54+$P54&lt;&gt;0,'CHUNG TU'!A45,"")</f>
      </c>
      <c r="C54" s="213">
        <f>IF($F54+$P54&lt;&gt;0,IF('CHUNG TU'!B45&lt;&gt;"",'CHUNG TU'!B45,IF('CHUNG TU'!C45&lt;&gt;"",'CHUNG TU'!C45,'CHUNG TU'!D45)),"")</f>
      </c>
      <c r="D54" s="213">
        <f>IF($F54+$P54&lt;&gt;0,'CHUNG TU'!F45,"")</f>
      </c>
      <c r="E54" s="213">
        <f>IF($F54+$P54&lt;&gt;0,'CHUNG TU'!H45,"")</f>
      </c>
      <c r="F54" s="213">
        <f>IF(LEFT('CHUNG TU'!I45,3)='CPSXKD 642_yếu tố'!$H$7,'CHUNG TU'!$L45,0)</f>
        <v>0</v>
      </c>
      <c r="G54" s="213">
        <f>IF(G$10='CHUNG TU'!$I45,'CHUNG TU'!$L45,0)</f>
        <v>0</v>
      </c>
      <c r="H54" s="213">
        <f>IF(H$10='CHUNG TU'!$I45,'CHUNG TU'!$L45,0)</f>
        <v>0</v>
      </c>
      <c r="I54" s="213">
        <f>IF(I$10='CHUNG TU'!$I45,'CHUNG TU'!$L45,0)</f>
        <v>0</v>
      </c>
      <c r="J54" s="213">
        <f>IF(J$10='CHUNG TU'!$I45,'CHUNG TU'!$L45,0)</f>
        <v>0</v>
      </c>
      <c r="K54" s="213">
        <f>IF(K$10='CHUNG TU'!$I45,'CHUNG TU'!$L45,0)</f>
        <v>0</v>
      </c>
      <c r="L54" s="213">
        <f>IF(L$10='CHUNG TU'!$I45,'CHUNG TU'!$L45,0)</f>
        <v>0</v>
      </c>
      <c r="M54" s="213">
        <f>IF(M$10='CHUNG TU'!$I45,'CHUNG TU'!$L45,0)</f>
        <v>0</v>
      </c>
      <c r="N54" s="213">
        <f>IF(N$10='CHUNG TU'!$I45,'CHUNG TU'!$L45,0)</f>
        <v>0</v>
      </c>
      <c r="O54" s="213">
        <f>IF(F54&lt;&gt;0,'CHUNG TU'!J45,"")</f>
      </c>
      <c r="P54" s="213">
        <f>IF(LEFT('CHUNG TU'!J45,3)='CPSXKD 642_yếu tố'!$H$7,'CHUNG TU'!$L45,0)</f>
        <v>0</v>
      </c>
      <c r="Q54" s="213">
        <f>IF(P54&lt;&gt;0,'CHUNG TU'!I45,"")</f>
      </c>
    </row>
    <row r="55" spans="2:17" ht="12.75">
      <c r="B55" s="213">
        <f>IF($F55+$P55&lt;&gt;0,'CHUNG TU'!A46,"")</f>
      </c>
      <c r="C55" s="213">
        <f>IF($F55+$P55&lt;&gt;0,IF('CHUNG TU'!B46&lt;&gt;"",'CHUNG TU'!B46,IF('CHUNG TU'!C46&lt;&gt;"",'CHUNG TU'!C46,'CHUNG TU'!D46)),"")</f>
      </c>
      <c r="D55" s="213">
        <f>IF($F55+$P55&lt;&gt;0,'CHUNG TU'!F46,"")</f>
      </c>
      <c r="E55" s="213">
        <f>IF($F55+$P55&lt;&gt;0,'CHUNG TU'!H46,"")</f>
      </c>
      <c r="F55" s="213">
        <f>IF(LEFT('CHUNG TU'!I46,3)='CPSXKD 642_yếu tố'!$H$7,'CHUNG TU'!$L46,0)</f>
        <v>0</v>
      </c>
      <c r="G55" s="213">
        <f>IF(G$10='CHUNG TU'!$I46,'CHUNG TU'!$L46,0)</f>
        <v>0</v>
      </c>
      <c r="H55" s="213">
        <f>IF(H$10='CHUNG TU'!$I46,'CHUNG TU'!$L46,0)</f>
        <v>0</v>
      </c>
      <c r="I55" s="213">
        <f>IF(I$10='CHUNG TU'!$I46,'CHUNG TU'!$L46,0)</f>
        <v>0</v>
      </c>
      <c r="J55" s="213">
        <f>IF(J$10='CHUNG TU'!$I46,'CHUNG TU'!$L46,0)</f>
        <v>0</v>
      </c>
      <c r="K55" s="213">
        <f>IF(K$10='CHUNG TU'!$I46,'CHUNG TU'!$L46,0)</f>
        <v>0</v>
      </c>
      <c r="L55" s="213">
        <f>IF(L$10='CHUNG TU'!$I46,'CHUNG TU'!$L46,0)</f>
        <v>0</v>
      </c>
      <c r="M55" s="213">
        <f>IF(M$10='CHUNG TU'!$I46,'CHUNG TU'!$L46,0)</f>
        <v>0</v>
      </c>
      <c r="N55" s="213">
        <f>IF(N$10='CHUNG TU'!$I46,'CHUNG TU'!$L46,0)</f>
        <v>0</v>
      </c>
      <c r="O55" s="213">
        <f>IF(F55&lt;&gt;0,'CHUNG TU'!J46,"")</f>
      </c>
      <c r="P55" s="213">
        <f>IF(LEFT('CHUNG TU'!J46,3)='CPSXKD 642_yếu tố'!$H$7,'CHUNG TU'!$L46,0)</f>
        <v>0</v>
      </c>
      <c r="Q55" s="213">
        <f>IF(P55&lt;&gt;0,'CHUNG TU'!I46,"")</f>
      </c>
    </row>
    <row r="56" spans="2:17" ht="12.75">
      <c r="B56" s="213">
        <f>IF($F56+$P56&lt;&gt;0,'CHUNG TU'!A47,"")</f>
      </c>
      <c r="C56" s="213">
        <f>IF($F56+$P56&lt;&gt;0,IF('CHUNG TU'!B47&lt;&gt;"",'CHUNG TU'!B47,IF('CHUNG TU'!C47&lt;&gt;"",'CHUNG TU'!C47,'CHUNG TU'!D47)),"")</f>
      </c>
      <c r="D56" s="213">
        <f>IF($F56+$P56&lt;&gt;0,'CHUNG TU'!F47,"")</f>
      </c>
      <c r="E56" s="213">
        <f>IF($F56+$P56&lt;&gt;0,'CHUNG TU'!H47,"")</f>
      </c>
      <c r="F56" s="213">
        <f>IF(LEFT('CHUNG TU'!I47,3)='CPSXKD 642_yếu tố'!$H$7,'CHUNG TU'!$L47,0)</f>
        <v>0</v>
      </c>
      <c r="G56" s="213">
        <f>IF(G$10='CHUNG TU'!$I47,'CHUNG TU'!$L47,0)</f>
        <v>0</v>
      </c>
      <c r="H56" s="213">
        <f>IF(H$10='CHUNG TU'!$I47,'CHUNG TU'!$L47,0)</f>
        <v>0</v>
      </c>
      <c r="I56" s="213">
        <f>IF(I$10='CHUNG TU'!$I47,'CHUNG TU'!$L47,0)</f>
        <v>0</v>
      </c>
      <c r="J56" s="213">
        <f>IF(J$10='CHUNG TU'!$I47,'CHUNG TU'!$L47,0)</f>
        <v>0</v>
      </c>
      <c r="K56" s="213">
        <f>IF(K$10='CHUNG TU'!$I47,'CHUNG TU'!$L47,0)</f>
        <v>0</v>
      </c>
      <c r="L56" s="213">
        <f>IF(L$10='CHUNG TU'!$I47,'CHUNG TU'!$L47,0)</f>
        <v>0</v>
      </c>
      <c r="M56" s="213">
        <f>IF(M$10='CHUNG TU'!$I47,'CHUNG TU'!$L47,0)</f>
        <v>0</v>
      </c>
      <c r="N56" s="213">
        <f>IF(N$10='CHUNG TU'!$I47,'CHUNG TU'!$L47,0)</f>
        <v>0</v>
      </c>
      <c r="O56" s="213">
        <f>IF(F56&lt;&gt;0,'CHUNG TU'!J47,"")</f>
      </c>
      <c r="P56" s="213">
        <f>IF(LEFT('CHUNG TU'!J47,3)='CPSXKD 642_yếu tố'!$H$7,'CHUNG TU'!$L47,0)</f>
        <v>0</v>
      </c>
      <c r="Q56" s="213">
        <f>IF(P56&lt;&gt;0,'CHUNG TU'!I47,"")</f>
      </c>
    </row>
    <row r="57" spans="2:17" ht="12.75">
      <c r="B57" s="213">
        <f>IF($F57+$P57&lt;&gt;0,'CHUNG TU'!A48,"")</f>
      </c>
      <c r="C57" s="213">
        <f>IF($F57+$P57&lt;&gt;0,IF('CHUNG TU'!B48&lt;&gt;"",'CHUNG TU'!B48,IF('CHUNG TU'!C48&lt;&gt;"",'CHUNG TU'!C48,'CHUNG TU'!D48)),"")</f>
      </c>
      <c r="D57" s="213">
        <f>IF($F57+$P57&lt;&gt;0,'CHUNG TU'!F48,"")</f>
      </c>
      <c r="E57" s="213">
        <f>IF($F57+$P57&lt;&gt;0,'CHUNG TU'!H48,"")</f>
      </c>
      <c r="F57" s="213">
        <f>IF(LEFT('CHUNG TU'!I48,3)='CPSXKD 642_yếu tố'!$H$7,'CHUNG TU'!$L48,0)</f>
        <v>0</v>
      </c>
      <c r="G57" s="213">
        <f>IF(G$10='CHUNG TU'!$I48,'CHUNG TU'!$L48,0)</f>
        <v>0</v>
      </c>
      <c r="H57" s="213">
        <f>IF(H$10='CHUNG TU'!$I48,'CHUNG TU'!$L48,0)</f>
        <v>0</v>
      </c>
      <c r="I57" s="213">
        <f>IF(I$10='CHUNG TU'!$I48,'CHUNG TU'!$L48,0)</f>
        <v>0</v>
      </c>
      <c r="J57" s="213">
        <f>IF(J$10='CHUNG TU'!$I48,'CHUNG TU'!$L48,0)</f>
        <v>0</v>
      </c>
      <c r="K57" s="213">
        <f>IF(K$10='CHUNG TU'!$I48,'CHUNG TU'!$L48,0)</f>
        <v>0</v>
      </c>
      <c r="L57" s="213">
        <f>IF(L$10='CHUNG TU'!$I48,'CHUNG TU'!$L48,0)</f>
        <v>0</v>
      </c>
      <c r="M57" s="213">
        <f>IF(M$10='CHUNG TU'!$I48,'CHUNG TU'!$L48,0)</f>
        <v>0</v>
      </c>
      <c r="N57" s="213">
        <f>IF(N$10='CHUNG TU'!$I48,'CHUNG TU'!$L48,0)</f>
        <v>0</v>
      </c>
      <c r="O57" s="213">
        <f>IF(F57&lt;&gt;0,'CHUNG TU'!J48,"")</f>
      </c>
      <c r="P57" s="213">
        <f>IF(LEFT('CHUNG TU'!J48,3)='CPSXKD 642_yếu tố'!$H$7,'CHUNG TU'!$L48,0)</f>
        <v>0</v>
      </c>
      <c r="Q57" s="213">
        <f>IF(P57&lt;&gt;0,'CHUNG TU'!I48,"")</f>
      </c>
    </row>
    <row r="58" spans="2:17" ht="12.75">
      <c r="B58" s="213" t="str">
        <f>IF($F58+$P58&lt;&gt;0,'CHUNG TU'!A49,"")</f>
        <v>12/10/2020</v>
      </c>
      <c r="C58" s="213" t="str">
        <f>IF($F58+$P58&lt;&gt;0,IF('CHUNG TU'!B49&lt;&gt;"",'CHUNG TU'!B49,IF('CHUNG TU'!C49&lt;&gt;"",'CHUNG TU'!C49,'CHUNG TU'!D49)),"")</f>
        <v>PC10/017</v>
      </c>
      <c r="D58" s="213" t="str">
        <f>IF($F58+$P58&lt;&gt;0,'CHUNG TU'!F49,"")</f>
        <v>12/10/2020</v>
      </c>
      <c r="E58" s="213" t="str">
        <f>IF($F58+$P58&lt;&gt;0,'CHUNG TU'!H49,"")</f>
        <v>Sửa chữa thường xuyên xe du lịch</v>
      </c>
      <c r="F58" s="213">
        <f>IF(LEFT('CHUNG TU'!I49,3)='CPSXKD 642_yếu tố'!$H$7,'CHUNG TU'!$L49,0)</f>
        <v>2000000</v>
      </c>
      <c r="G58" s="213">
        <f>IF(G$10='CHUNG TU'!$I49,'CHUNG TU'!$L49,0)</f>
        <v>0</v>
      </c>
      <c r="H58" s="213">
        <f>IF(H$10='CHUNG TU'!$I49,'CHUNG TU'!$L49,0)</f>
        <v>0</v>
      </c>
      <c r="I58" s="213">
        <f>IF(I$10='CHUNG TU'!$I49,'CHUNG TU'!$L49,0)</f>
        <v>0</v>
      </c>
      <c r="J58" s="213">
        <f>IF(J$10='CHUNG TU'!$I49,'CHUNG TU'!$L49,0)</f>
        <v>0</v>
      </c>
      <c r="K58" s="213">
        <f>IF(K$10='CHUNG TU'!$I49,'CHUNG TU'!$L49,0)</f>
        <v>0</v>
      </c>
      <c r="L58" s="213">
        <f>IF(L$10='CHUNG TU'!$I49,'CHUNG TU'!$L49,0)</f>
        <v>0</v>
      </c>
      <c r="M58" s="213">
        <f>IF(M$10='CHUNG TU'!$I49,'CHUNG TU'!$L49,0)</f>
        <v>2000000</v>
      </c>
      <c r="N58" s="213">
        <f>IF(N$10='CHUNG TU'!$I49,'CHUNG TU'!$L49,0)</f>
        <v>0</v>
      </c>
      <c r="O58" s="213" t="str">
        <f>IF(F58&lt;&gt;0,'CHUNG TU'!J49,"")</f>
        <v>1111</v>
      </c>
      <c r="P58" s="213">
        <f>IF(LEFT('CHUNG TU'!J49,3)='CPSXKD 642_yếu tố'!$H$7,'CHUNG TU'!$L49,0)</f>
        <v>0</v>
      </c>
      <c r="Q58" s="213">
        <f>IF(P58&lt;&gt;0,'CHUNG TU'!I49,"")</f>
      </c>
    </row>
    <row r="59" spans="2:17" ht="12.75">
      <c r="B59" s="213">
        <f>IF($F59+$P59&lt;&gt;0,'CHUNG TU'!A50,"")</f>
      </c>
      <c r="C59" s="213">
        <f>IF($F59+$P59&lt;&gt;0,IF('CHUNG TU'!B50&lt;&gt;"",'CHUNG TU'!B50,IF('CHUNG TU'!C50&lt;&gt;"",'CHUNG TU'!C50,'CHUNG TU'!D50)),"")</f>
      </c>
      <c r="D59" s="213">
        <f>IF($F59+$P59&lt;&gt;0,'CHUNG TU'!F50,"")</f>
      </c>
      <c r="E59" s="213">
        <f>IF($F59+$P59&lt;&gt;0,'CHUNG TU'!H50,"")</f>
      </c>
      <c r="F59" s="213">
        <f>IF(LEFT('CHUNG TU'!I50,3)='CPSXKD 642_yếu tố'!$H$7,'CHUNG TU'!$L50,0)</f>
        <v>0</v>
      </c>
      <c r="G59" s="213">
        <f>IF(G$10='CHUNG TU'!$I50,'CHUNG TU'!$L50,0)</f>
        <v>0</v>
      </c>
      <c r="H59" s="213">
        <f>IF(H$10='CHUNG TU'!$I50,'CHUNG TU'!$L50,0)</f>
        <v>0</v>
      </c>
      <c r="I59" s="213">
        <f>IF(I$10='CHUNG TU'!$I50,'CHUNG TU'!$L50,0)</f>
        <v>0</v>
      </c>
      <c r="J59" s="213">
        <f>IF(J$10='CHUNG TU'!$I50,'CHUNG TU'!$L50,0)</f>
        <v>0</v>
      </c>
      <c r="K59" s="213">
        <f>IF(K$10='CHUNG TU'!$I50,'CHUNG TU'!$L50,0)</f>
        <v>0</v>
      </c>
      <c r="L59" s="213">
        <f>IF(L$10='CHUNG TU'!$I50,'CHUNG TU'!$L50,0)</f>
        <v>0</v>
      </c>
      <c r="M59" s="213">
        <f>IF(M$10='CHUNG TU'!$I50,'CHUNG TU'!$L50,0)</f>
        <v>0</v>
      </c>
      <c r="N59" s="213">
        <f>IF(N$10='CHUNG TU'!$I50,'CHUNG TU'!$L50,0)</f>
        <v>0</v>
      </c>
      <c r="O59" s="213">
        <f>IF(F59&lt;&gt;0,'CHUNG TU'!J50,"")</f>
      </c>
      <c r="P59" s="213">
        <f>IF(LEFT('CHUNG TU'!J50,3)='CPSXKD 642_yếu tố'!$H$7,'CHUNG TU'!$L50,0)</f>
        <v>0</v>
      </c>
      <c r="Q59" s="213">
        <f>IF(P59&lt;&gt;0,'CHUNG TU'!I50,"")</f>
      </c>
    </row>
    <row r="60" spans="2:17" ht="12.75">
      <c r="B60" s="213">
        <f>IF($F60+$P60&lt;&gt;0,'CHUNG TU'!A51,"")</f>
      </c>
      <c r="C60" s="213">
        <f>IF($F60+$P60&lt;&gt;0,IF('CHUNG TU'!B51&lt;&gt;"",'CHUNG TU'!B51,IF('CHUNG TU'!C51&lt;&gt;"",'CHUNG TU'!C51,'CHUNG TU'!D51)),"")</f>
      </c>
      <c r="D60" s="213">
        <f>IF($F60+$P60&lt;&gt;0,'CHUNG TU'!F51,"")</f>
      </c>
      <c r="E60" s="213">
        <f>IF($F60+$P60&lt;&gt;0,'CHUNG TU'!H51,"")</f>
      </c>
      <c r="F60" s="213">
        <f>IF(LEFT('CHUNG TU'!I51,3)='CPSXKD 642_yếu tố'!$H$7,'CHUNG TU'!$L51,0)</f>
        <v>0</v>
      </c>
      <c r="G60" s="213">
        <f>IF(G$10='CHUNG TU'!$I51,'CHUNG TU'!$L51,0)</f>
        <v>0</v>
      </c>
      <c r="H60" s="213">
        <f>IF(H$10='CHUNG TU'!$I51,'CHUNG TU'!$L51,0)</f>
        <v>0</v>
      </c>
      <c r="I60" s="213">
        <f>IF(I$10='CHUNG TU'!$I51,'CHUNG TU'!$L51,0)</f>
        <v>0</v>
      </c>
      <c r="J60" s="213">
        <f>IF(J$10='CHUNG TU'!$I51,'CHUNG TU'!$L51,0)</f>
        <v>0</v>
      </c>
      <c r="K60" s="213">
        <f>IF(K$10='CHUNG TU'!$I51,'CHUNG TU'!$L51,0)</f>
        <v>0</v>
      </c>
      <c r="L60" s="213">
        <f>IF(L$10='CHUNG TU'!$I51,'CHUNG TU'!$L51,0)</f>
        <v>0</v>
      </c>
      <c r="M60" s="213">
        <f>IF(M$10='CHUNG TU'!$I51,'CHUNG TU'!$L51,0)</f>
        <v>0</v>
      </c>
      <c r="N60" s="213">
        <f>IF(N$10='CHUNG TU'!$I51,'CHUNG TU'!$L51,0)</f>
        <v>0</v>
      </c>
      <c r="O60" s="213">
        <f>IF(F60&lt;&gt;0,'CHUNG TU'!J51,"")</f>
      </c>
      <c r="P60" s="213">
        <f>IF(LEFT('CHUNG TU'!J51,3)='CPSXKD 642_yếu tố'!$H$7,'CHUNG TU'!$L51,0)</f>
        <v>0</v>
      </c>
      <c r="Q60" s="213">
        <f>IF(P60&lt;&gt;0,'CHUNG TU'!I51,"")</f>
      </c>
    </row>
    <row r="61" spans="2:17" ht="12.75">
      <c r="B61" s="213">
        <f>IF($F61+$P61&lt;&gt;0,'CHUNG TU'!A52,"")</f>
      </c>
      <c r="C61" s="213">
        <f>IF($F61+$P61&lt;&gt;0,IF('CHUNG TU'!B52&lt;&gt;"",'CHUNG TU'!B52,IF('CHUNG TU'!C52&lt;&gt;"",'CHUNG TU'!C52,'CHUNG TU'!D52)),"")</f>
      </c>
      <c r="D61" s="213">
        <f>IF($F61+$P61&lt;&gt;0,'CHUNG TU'!F52,"")</f>
      </c>
      <c r="E61" s="213">
        <f>IF($F61+$P61&lt;&gt;0,'CHUNG TU'!H52,"")</f>
      </c>
      <c r="F61" s="213">
        <f>IF(LEFT('CHUNG TU'!I52,3)='CPSXKD 642_yếu tố'!$H$7,'CHUNG TU'!$L52,0)</f>
        <v>0</v>
      </c>
      <c r="G61" s="213">
        <f>IF(G$10='CHUNG TU'!$I52,'CHUNG TU'!$L52,0)</f>
        <v>0</v>
      </c>
      <c r="H61" s="213">
        <f>IF(H$10='CHUNG TU'!$I52,'CHUNG TU'!$L52,0)</f>
        <v>0</v>
      </c>
      <c r="I61" s="213">
        <f>IF(I$10='CHUNG TU'!$I52,'CHUNG TU'!$L52,0)</f>
        <v>0</v>
      </c>
      <c r="J61" s="213">
        <f>IF(J$10='CHUNG TU'!$I52,'CHUNG TU'!$L52,0)</f>
        <v>0</v>
      </c>
      <c r="K61" s="213">
        <f>IF(K$10='CHUNG TU'!$I52,'CHUNG TU'!$L52,0)</f>
        <v>0</v>
      </c>
      <c r="L61" s="213">
        <f>IF(L$10='CHUNG TU'!$I52,'CHUNG TU'!$L52,0)</f>
        <v>0</v>
      </c>
      <c r="M61" s="213">
        <f>IF(M$10='CHUNG TU'!$I52,'CHUNG TU'!$L52,0)</f>
        <v>0</v>
      </c>
      <c r="N61" s="213">
        <f>IF(N$10='CHUNG TU'!$I52,'CHUNG TU'!$L52,0)</f>
        <v>0</v>
      </c>
      <c r="O61" s="213">
        <f>IF(F61&lt;&gt;0,'CHUNG TU'!J52,"")</f>
      </c>
      <c r="P61" s="213">
        <f>IF(LEFT('CHUNG TU'!J52,3)='CPSXKD 642_yếu tố'!$H$7,'CHUNG TU'!$L52,0)</f>
        <v>0</v>
      </c>
      <c r="Q61" s="213">
        <f>IF(P61&lt;&gt;0,'CHUNG TU'!I52,"")</f>
      </c>
    </row>
    <row r="62" spans="2:17" ht="12.75">
      <c r="B62" s="213">
        <f>IF($F62+$P62&lt;&gt;0,'CHUNG TU'!A53,"")</f>
      </c>
      <c r="C62" s="213">
        <f>IF($F62+$P62&lt;&gt;0,IF('CHUNG TU'!B53&lt;&gt;"",'CHUNG TU'!B53,IF('CHUNG TU'!C53&lt;&gt;"",'CHUNG TU'!C53,'CHUNG TU'!D53)),"")</f>
      </c>
      <c r="D62" s="213">
        <f>IF($F62+$P62&lt;&gt;0,'CHUNG TU'!F53,"")</f>
      </c>
      <c r="E62" s="213">
        <f>IF($F62+$P62&lt;&gt;0,'CHUNG TU'!H53,"")</f>
      </c>
      <c r="F62" s="213">
        <f>IF(LEFT('CHUNG TU'!I53,3)='CPSXKD 642_yếu tố'!$H$7,'CHUNG TU'!$L53,0)</f>
        <v>0</v>
      </c>
      <c r="G62" s="213">
        <f>IF(G$10='CHUNG TU'!$I53,'CHUNG TU'!$L53,0)</f>
        <v>0</v>
      </c>
      <c r="H62" s="213">
        <f>IF(H$10='CHUNG TU'!$I53,'CHUNG TU'!$L53,0)</f>
        <v>0</v>
      </c>
      <c r="I62" s="213">
        <f>IF(I$10='CHUNG TU'!$I53,'CHUNG TU'!$L53,0)</f>
        <v>0</v>
      </c>
      <c r="J62" s="213">
        <f>IF(J$10='CHUNG TU'!$I53,'CHUNG TU'!$L53,0)</f>
        <v>0</v>
      </c>
      <c r="K62" s="213">
        <f>IF(K$10='CHUNG TU'!$I53,'CHUNG TU'!$L53,0)</f>
        <v>0</v>
      </c>
      <c r="L62" s="213">
        <f>IF(L$10='CHUNG TU'!$I53,'CHUNG TU'!$L53,0)</f>
        <v>0</v>
      </c>
      <c r="M62" s="213">
        <f>IF(M$10='CHUNG TU'!$I53,'CHUNG TU'!$L53,0)</f>
        <v>0</v>
      </c>
      <c r="N62" s="213">
        <f>IF(N$10='CHUNG TU'!$I53,'CHUNG TU'!$L53,0)</f>
        <v>0</v>
      </c>
      <c r="O62" s="213">
        <f>IF(F62&lt;&gt;0,'CHUNG TU'!J53,"")</f>
      </c>
      <c r="P62" s="213">
        <f>IF(LEFT('CHUNG TU'!J53,3)='CPSXKD 642_yếu tố'!$H$7,'CHUNG TU'!$L53,0)</f>
        <v>0</v>
      </c>
      <c r="Q62" s="213">
        <f>IF(P62&lt;&gt;0,'CHUNG TU'!I53,"")</f>
      </c>
    </row>
    <row r="63" spans="2:17" ht="12.75">
      <c r="B63" s="213">
        <f>IF($F63+$P63&lt;&gt;0,'CHUNG TU'!A54,"")</f>
      </c>
      <c r="C63" s="213">
        <f>IF($F63+$P63&lt;&gt;0,IF('CHUNG TU'!B54&lt;&gt;"",'CHUNG TU'!B54,IF('CHUNG TU'!C54&lt;&gt;"",'CHUNG TU'!C54,'CHUNG TU'!D54)),"")</f>
      </c>
      <c r="D63" s="213">
        <f>IF($F63+$P63&lt;&gt;0,'CHUNG TU'!F54,"")</f>
      </c>
      <c r="E63" s="213">
        <f>IF($F63+$P63&lt;&gt;0,'CHUNG TU'!H54,"")</f>
      </c>
      <c r="F63" s="213">
        <f>IF(LEFT('CHUNG TU'!I54,3)='CPSXKD 642_yếu tố'!$H$7,'CHUNG TU'!$L54,0)</f>
        <v>0</v>
      </c>
      <c r="G63" s="213">
        <f>IF(G$10='CHUNG TU'!$I54,'CHUNG TU'!$L54,0)</f>
        <v>0</v>
      </c>
      <c r="H63" s="213">
        <f>IF(H$10='CHUNG TU'!$I54,'CHUNG TU'!$L54,0)</f>
        <v>0</v>
      </c>
      <c r="I63" s="213">
        <f>IF(I$10='CHUNG TU'!$I54,'CHUNG TU'!$L54,0)</f>
        <v>0</v>
      </c>
      <c r="J63" s="213">
        <f>IF(J$10='CHUNG TU'!$I54,'CHUNG TU'!$L54,0)</f>
        <v>0</v>
      </c>
      <c r="K63" s="213">
        <f>IF(K$10='CHUNG TU'!$I54,'CHUNG TU'!$L54,0)</f>
        <v>0</v>
      </c>
      <c r="L63" s="213">
        <f>IF(L$10='CHUNG TU'!$I54,'CHUNG TU'!$L54,0)</f>
        <v>0</v>
      </c>
      <c r="M63" s="213">
        <f>IF(M$10='CHUNG TU'!$I54,'CHUNG TU'!$L54,0)</f>
        <v>0</v>
      </c>
      <c r="N63" s="213">
        <f>IF(N$10='CHUNG TU'!$I54,'CHUNG TU'!$L54,0)</f>
        <v>0</v>
      </c>
      <c r="O63" s="213">
        <f>IF(F63&lt;&gt;0,'CHUNG TU'!J54,"")</f>
      </c>
      <c r="P63" s="213">
        <f>IF(LEFT('CHUNG TU'!J54,3)='CPSXKD 642_yếu tố'!$H$7,'CHUNG TU'!$L54,0)</f>
        <v>0</v>
      </c>
      <c r="Q63" s="213">
        <f>IF(P63&lt;&gt;0,'CHUNG TU'!I54,"")</f>
      </c>
    </row>
    <row r="64" spans="2:17" ht="12.75">
      <c r="B64" s="213">
        <f>IF($F64+$P64&lt;&gt;0,'CHUNG TU'!A55,"")</f>
      </c>
      <c r="C64" s="213">
        <f>IF($F64+$P64&lt;&gt;0,IF('CHUNG TU'!B55&lt;&gt;"",'CHUNG TU'!B55,IF('CHUNG TU'!C55&lt;&gt;"",'CHUNG TU'!C55,'CHUNG TU'!D55)),"")</f>
      </c>
      <c r="D64" s="213">
        <f>IF($F64+$P64&lt;&gt;0,'CHUNG TU'!F55,"")</f>
      </c>
      <c r="E64" s="213">
        <f>IF($F64+$P64&lt;&gt;0,'CHUNG TU'!H55,"")</f>
      </c>
      <c r="F64" s="213">
        <f>IF(LEFT('CHUNG TU'!I55,3)='CPSXKD 642_yếu tố'!$H$7,'CHUNG TU'!$L55,0)</f>
        <v>0</v>
      </c>
      <c r="G64" s="213">
        <f>IF(G$10='CHUNG TU'!$I55,'CHUNG TU'!$L55,0)</f>
        <v>0</v>
      </c>
      <c r="H64" s="213">
        <f>IF(H$10='CHUNG TU'!$I55,'CHUNG TU'!$L55,0)</f>
        <v>0</v>
      </c>
      <c r="I64" s="213">
        <f>IF(I$10='CHUNG TU'!$I55,'CHUNG TU'!$L55,0)</f>
        <v>0</v>
      </c>
      <c r="J64" s="213">
        <f>IF(J$10='CHUNG TU'!$I55,'CHUNG TU'!$L55,0)</f>
        <v>0</v>
      </c>
      <c r="K64" s="213">
        <f>IF(K$10='CHUNG TU'!$I55,'CHUNG TU'!$L55,0)</f>
        <v>0</v>
      </c>
      <c r="L64" s="213">
        <f>IF(L$10='CHUNG TU'!$I55,'CHUNG TU'!$L55,0)</f>
        <v>0</v>
      </c>
      <c r="M64" s="213">
        <f>IF(M$10='CHUNG TU'!$I55,'CHUNG TU'!$L55,0)</f>
        <v>0</v>
      </c>
      <c r="N64" s="213">
        <f>IF(N$10='CHUNG TU'!$I55,'CHUNG TU'!$L55,0)</f>
        <v>0</v>
      </c>
      <c r="O64" s="213">
        <f>IF(F64&lt;&gt;0,'CHUNG TU'!J55,"")</f>
      </c>
      <c r="P64" s="213">
        <f>IF(LEFT('CHUNG TU'!J55,3)='CPSXKD 642_yếu tố'!$H$7,'CHUNG TU'!$L55,0)</f>
        <v>0</v>
      </c>
      <c r="Q64" s="213">
        <f>IF(P64&lt;&gt;0,'CHUNG TU'!I55,"")</f>
      </c>
    </row>
    <row r="65" spans="2:17" ht="12.75">
      <c r="B65" s="213">
        <f>IF($F65+$P65&lt;&gt;0,'CHUNG TU'!A56,"")</f>
      </c>
      <c r="C65" s="213">
        <f>IF($F65+$P65&lt;&gt;0,IF('CHUNG TU'!B56&lt;&gt;"",'CHUNG TU'!B56,IF('CHUNG TU'!C56&lt;&gt;"",'CHUNG TU'!C56,'CHUNG TU'!D56)),"")</f>
      </c>
      <c r="D65" s="213">
        <f>IF($F65+$P65&lt;&gt;0,'CHUNG TU'!F56,"")</f>
      </c>
      <c r="E65" s="213">
        <f>IF($F65+$P65&lt;&gt;0,'CHUNG TU'!H56,"")</f>
      </c>
      <c r="F65" s="213">
        <f>IF(LEFT('CHUNG TU'!I56,3)='CPSXKD 642_yếu tố'!$H$7,'CHUNG TU'!$L56,0)</f>
        <v>0</v>
      </c>
      <c r="G65" s="213">
        <f>IF(G$10='CHUNG TU'!$I56,'CHUNG TU'!$L56,0)</f>
        <v>0</v>
      </c>
      <c r="H65" s="213">
        <f>IF(H$10='CHUNG TU'!$I56,'CHUNG TU'!$L56,0)</f>
        <v>0</v>
      </c>
      <c r="I65" s="213">
        <f>IF(I$10='CHUNG TU'!$I56,'CHUNG TU'!$L56,0)</f>
        <v>0</v>
      </c>
      <c r="J65" s="213">
        <f>IF(J$10='CHUNG TU'!$I56,'CHUNG TU'!$L56,0)</f>
        <v>0</v>
      </c>
      <c r="K65" s="213">
        <f>IF(K$10='CHUNG TU'!$I56,'CHUNG TU'!$L56,0)</f>
        <v>0</v>
      </c>
      <c r="L65" s="213">
        <f>IF(L$10='CHUNG TU'!$I56,'CHUNG TU'!$L56,0)</f>
        <v>0</v>
      </c>
      <c r="M65" s="213">
        <f>IF(M$10='CHUNG TU'!$I56,'CHUNG TU'!$L56,0)</f>
        <v>0</v>
      </c>
      <c r="N65" s="213">
        <f>IF(N$10='CHUNG TU'!$I56,'CHUNG TU'!$L56,0)</f>
        <v>0</v>
      </c>
      <c r="O65" s="213">
        <f>IF(F65&lt;&gt;0,'CHUNG TU'!J56,"")</f>
      </c>
      <c r="P65" s="213">
        <f>IF(LEFT('CHUNG TU'!J56,3)='CPSXKD 642_yếu tố'!$H$7,'CHUNG TU'!$L56,0)</f>
        <v>0</v>
      </c>
      <c r="Q65" s="213">
        <f>IF(P65&lt;&gt;0,'CHUNG TU'!I56,"")</f>
      </c>
    </row>
    <row r="66" spans="2:17" ht="12.75">
      <c r="B66" s="213">
        <f>IF($F66+$P66&lt;&gt;0,'CHUNG TU'!A57,"")</f>
      </c>
      <c r="C66" s="213">
        <f>IF($F66+$P66&lt;&gt;0,IF('CHUNG TU'!B57&lt;&gt;"",'CHUNG TU'!B57,IF('CHUNG TU'!C57&lt;&gt;"",'CHUNG TU'!C57,'CHUNG TU'!D57)),"")</f>
      </c>
      <c r="D66" s="213">
        <f>IF($F66+$P66&lt;&gt;0,'CHUNG TU'!F57,"")</f>
      </c>
      <c r="E66" s="213">
        <f>IF($F66+$P66&lt;&gt;0,'CHUNG TU'!H57,"")</f>
      </c>
      <c r="F66" s="213">
        <f>IF(LEFT('CHUNG TU'!I57,3)='CPSXKD 642_yếu tố'!$H$7,'CHUNG TU'!$L57,0)</f>
        <v>0</v>
      </c>
      <c r="G66" s="213">
        <f>IF(G$10='CHUNG TU'!$I57,'CHUNG TU'!$L57,0)</f>
        <v>0</v>
      </c>
      <c r="H66" s="213">
        <f>IF(H$10='CHUNG TU'!$I57,'CHUNG TU'!$L57,0)</f>
        <v>0</v>
      </c>
      <c r="I66" s="213">
        <f>IF(I$10='CHUNG TU'!$I57,'CHUNG TU'!$L57,0)</f>
        <v>0</v>
      </c>
      <c r="J66" s="213">
        <f>IF(J$10='CHUNG TU'!$I57,'CHUNG TU'!$L57,0)</f>
        <v>0</v>
      </c>
      <c r="K66" s="213">
        <f>IF(K$10='CHUNG TU'!$I57,'CHUNG TU'!$L57,0)</f>
        <v>0</v>
      </c>
      <c r="L66" s="213">
        <f>IF(L$10='CHUNG TU'!$I57,'CHUNG TU'!$L57,0)</f>
        <v>0</v>
      </c>
      <c r="M66" s="213">
        <f>IF(M$10='CHUNG TU'!$I57,'CHUNG TU'!$L57,0)</f>
        <v>0</v>
      </c>
      <c r="N66" s="213">
        <f>IF(N$10='CHUNG TU'!$I57,'CHUNG TU'!$L57,0)</f>
        <v>0</v>
      </c>
      <c r="O66" s="213">
        <f>IF(F66&lt;&gt;0,'CHUNG TU'!J57,"")</f>
      </c>
      <c r="P66" s="213">
        <f>IF(LEFT('CHUNG TU'!J57,3)='CPSXKD 642_yếu tố'!$H$7,'CHUNG TU'!$L57,0)</f>
        <v>0</v>
      </c>
      <c r="Q66" s="213">
        <f>IF(P66&lt;&gt;0,'CHUNG TU'!I57,"")</f>
      </c>
    </row>
    <row r="67" spans="2:17" ht="12.75">
      <c r="B67" s="213">
        <f>IF($F67+$P67&lt;&gt;0,'CHUNG TU'!A58,"")</f>
      </c>
      <c r="C67" s="213">
        <f>IF($F67+$P67&lt;&gt;0,IF('CHUNG TU'!B58&lt;&gt;"",'CHUNG TU'!B58,IF('CHUNG TU'!C58&lt;&gt;"",'CHUNG TU'!C58,'CHUNG TU'!D58)),"")</f>
      </c>
      <c r="D67" s="213">
        <f>IF($F67+$P67&lt;&gt;0,'CHUNG TU'!F58,"")</f>
      </c>
      <c r="E67" s="213">
        <f>IF($F67+$P67&lt;&gt;0,'CHUNG TU'!H58,"")</f>
      </c>
      <c r="F67" s="213">
        <f>IF(LEFT('CHUNG TU'!I58,3)='CPSXKD 642_yếu tố'!$H$7,'CHUNG TU'!$L58,0)</f>
        <v>0</v>
      </c>
      <c r="G67" s="213">
        <f>IF(G$10='CHUNG TU'!$I58,'CHUNG TU'!$L58,0)</f>
        <v>0</v>
      </c>
      <c r="H67" s="213">
        <f>IF(H$10='CHUNG TU'!$I58,'CHUNG TU'!$L58,0)</f>
        <v>0</v>
      </c>
      <c r="I67" s="213">
        <f>IF(I$10='CHUNG TU'!$I58,'CHUNG TU'!$L58,0)</f>
        <v>0</v>
      </c>
      <c r="J67" s="213">
        <f>IF(J$10='CHUNG TU'!$I58,'CHUNG TU'!$L58,0)</f>
        <v>0</v>
      </c>
      <c r="K67" s="213">
        <f>IF(K$10='CHUNG TU'!$I58,'CHUNG TU'!$L58,0)</f>
        <v>0</v>
      </c>
      <c r="L67" s="213">
        <f>IF(L$10='CHUNG TU'!$I58,'CHUNG TU'!$L58,0)</f>
        <v>0</v>
      </c>
      <c r="M67" s="213">
        <f>IF(M$10='CHUNG TU'!$I58,'CHUNG TU'!$L58,0)</f>
        <v>0</v>
      </c>
      <c r="N67" s="213">
        <f>IF(N$10='CHUNG TU'!$I58,'CHUNG TU'!$L58,0)</f>
        <v>0</v>
      </c>
      <c r="O67" s="213">
        <f>IF(F67&lt;&gt;0,'CHUNG TU'!J58,"")</f>
      </c>
      <c r="P67" s="213">
        <f>IF(LEFT('CHUNG TU'!J58,3)='CPSXKD 642_yếu tố'!$H$7,'CHUNG TU'!$L58,0)</f>
        <v>0</v>
      </c>
      <c r="Q67" s="213">
        <f>IF(P67&lt;&gt;0,'CHUNG TU'!I58,"")</f>
      </c>
    </row>
    <row r="68" spans="2:17" ht="12.75">
      <c r="B68" s="213">
        <f>IF($F68+$P68&lt;&gt;0,'CHUNG TU'!A59,"")</f>
      </c>
      <c r="C68" s="213">
        <f>IF($F68+$P68&lt;&gt;0,IF('CHUNG TU'!B59&lt;&gt;"",'CHUNG TU'!B59,IF('CHUNG TU'!C59&lt;&gt;"",'CHUNG TU'!C59,'CHUNG TU'!D59)),"")</f>
      </c>
      <c r="D68" s="213">
        <f>IF($F68+$P68&lt;&gt;0,'CHUNG TU'!F59,"")</f>
      </c>
      <c r="E68" s="213">
        <f>IF($F68+$P68&lt;&gt;0,'CHUNG TU'!H59,"")</f>
      </c>
      <c r="F68" s="213">
        <f>IF(LEFT('CHUNG TU'!I59,3)='CPSXKD 642_yếu tố'!$H$7,'CHUNG TU'!$L59,0)</f>
        <v>0</v>
      </c>
      <c r="G68" s="213">
        <f>IF(G$10='CHUNG TU'!$I59,'CHUNG TU'!$L59,0)</f>
        <v>0</v>
      </c>
      <c r="H68" s="213">
        <f>IF(H$10='CHUNG TU'!$I59,'CHUNG TU'!$L59,0)</f>
        <v>0</v>
      </c>
      <c r="I68" s="213">
        <f>IF(I$10='CHUNG TU'!$I59,'CHUNG TU'!$L59,0)</f>
        <v>0</v>
      </c>
      <c r="J68" s="213">
        <f>IF(J$10='CHUNG TU'!$I59,'CHUNG TU'!$L59,0)</f>
        <v>0</v>
      </c>
      <c r="K68" s="213">
        <f>IF(K$10='CHUNG TU'!$I59,'CHUNG TU'!$L59,0)</f>
        <v>0</v>
      </c>
      <c r="L68" s="213">
        <f>IF(L$10='CHUNG TU'!$I59,'CHUNG TU'!$L59,0)</f>
        <v>0</v>
      </c>
      <c r="M68" s="213">
        <f>IF(M$10='CHUNG TU'!$I59,'CHUNG TU'!$L59,0)</f>
        <v>0</v>
      </c>
      <c r="N68" s="213">
        <f>IF(N$10='CHUNG TU'!$I59,'CHUNG TU'!$L59,0)</f>
        <v>0</v>
      </c>
      <c r="O68" s="213">
        <f>IF(F68&lt;&gt;0,'CHUNG TU'!J59,"")</f>
      </c>
      <c r="P68" s="213">
        <f>IF(LEFT('CHUNG TU'!J59,3)='CPSXKD 642_yếu tố'!$H$7,'CHUNG TU'!$L59,0)</f>
        <v>0</v>
      </c>
      <c r="Q68" s="213">
        <f>IF(P68&lt;&gt;0,'CHUNG TU'!I59,"")</f>
      </c>
    </row>
    <row r="69" spans="2:17" ht="12.75">
      <c r="B69" s="213">
        <f>IF($F69+$P69&lt;&gt;0,'CHUNG TU'!A60,"")</f>
      </c>
      <c r="C69" s="213">
        <f>IF($F69+$P69&lt;&gt;0,IF('CHUNG TU'!B60&lt;&gt;"",'CHUNG TU'!B60,IF('CHUNG TU'!C60&lt;&gt;"",'CHUNG TU'!C60,'CHUNG TU'!D60)),"")</f>
      </c>
      <c r="D69" s="213">
        <f>IF($F69+$P69&lt;&gt;0,'CHUNG TU'!F60,"")</f>
      </c>
      <c r="E69" s="213">
        <f>IF($F69+$P69&lt;&gt;0,'CHUNG TU'!H60,"")</f>
      </c>
      <c r="F69" s="213">
        <f>IF(LEFT('CHUNG TU'!I60,3)='CPSXKD 642_yếu tố'!$H$7,'CHUNG TU'!$L60,0)</f>
        <v>0</v>
      </c>
      <c r="G69" s="213">
        <f>IF(G$10='CHUNG TU'!$I60,'CHUNG TU'!$L60,0)</f>
        <v>0</v>
      </c>
      <c r="H69" s="213">
        <f>IF(H$10='CHUNG TU'!$I60,'CHUNG TU'!$L60,0)</f>
        <v>0</v>
      </c>
      <c r="I69" s="213">
        <f>IF(I$10='CHUNG TU'!$I60,'CHUNG TU'!$L60,0)</f>
        <v>0</v>
      </c>
      <c r="J69" s="213">
        <f>IF(J$10='CHUNG TU'!$I60,'CHUNG TU'!$L60,0)</f>
        <v>0</v>
      </c>
      <c r="K69" s="213">
        <f>IF(K$10='CHUNG TU'!$I60,'CHUNG TU'!$L60,0)</f>
        <v>0</v>
      </c>
      <c r="L69" s="213">
        <f>IF(L$10='CHUNG TU'!$I60,'CHUNG TU'!$L60,0)</f>
        <v>0</v>
      </c>
      <c r="M69" s="213">
        <f>IF(M$10='CHUNG TU'!$I60,'CHUNG TU'!$L60,0)</f>
        <v>0</v>
      </c>
      <c r="N69" s="213">
        <f>IF(N$10='CHUNG TU'!$I60,'CHUNG TU'!$L60,0)</f>
        <v>0</v>
      </c>
      <c r="O69" s="213">
        <f>IF(F69&lt;&gt;0,'CHUNG TU'!J60,"")</f>
      </c>
      <c r="P69" s="213">
        <f>IF(LEFT('CHUNG TU'!J60,3)='CPSXKD 642_yếu tố'!$H$7,'CHUNG TU'!$L60,0)</f>
        <v>0</v>
      </c>
      <c r="Q69" s="213">
        <f>IF(P69&lt;&gt;0,'CHUNG TU'!I60,"")</f>
      </c>
    </row>
    <row r="70" spans="2:17" ht="12.75">
      <c r="B70" s="213">
        <f>IF($F70+$P70&lt;&gt;0,'CHUNG TU'!A61,"")</f>
      </c>
      <c r="C70" s="213">
        <f>IF($F70+$P70&lt;&gt;0,IF('CHUNG TU'!B61&lt;&gt;"",'CHUNG TU'!B61,IF('CHUNG TU'!C61&lt;&gt;"",'CHUNG TU'!C61,'CHUNG TU'!D61)),"")</f>
      </c>
      <c r="D70" s="213">
        <f>IF($F70+$P70&lt;&gt;0,'CHUNG TU'!F61,"")</f>
      </c>
      <c r="E70" s="213">
        <f>IF($F70+$P70&lt;&gt;0,'CHUNG TU'!H61,"")</f>
      </c>
      <c r="F70" s="213">
        <f>IF(LEFT('CHUNG TU'!I61,3)='CPSXKD 642_yếu tố'!$H$7,'CHUNG TU'!$L61,0)</f>
        <v>0</v>
      </c>
      <c r="G70" s="213">
        <f>IF(G$10='CHUNG TU'!$I61,'CHUNG TU'!$L61,0)</f>
        <v>0</v>
      </c>
      <c r="H70" s="213">
        <f>IF(H$10='CHUNG TU'!$I61,'CHUNG TU'!$L61,0)</f>
        <v>0</v>
      </c>
      <c r="I70" s="213">
        <f>IF(I$10='CHUNG TU'!$I61,'CHUNG TU'!$L61,0)</f>
        <v>0</v>
      </c>
      <c r="J70" s="213">
        <f>IF(J$10='CHUNG TU'!$I61,'CHUNG TU'!$L61,0)</f>
        <v>0</v>
      </c>
      <c r="K70" s="213">
        <f>IF(K$10='CHUNG TU'!$I61,'CHUNG TU'!$L61,0)</f>
        <v>0</v>
      </c>
      <c r="L70" s="213">
        <f>IF(L$10='CHUNG TU'!$I61,'CHUNG TU'!$L61,0)</f>
        <v>0</v>
      </c>
      <c r="M70" s="213">
        <f>IF(M$10='CHUNG TU'!$I61,'CHUNG TU'!$L61,0)</f>
        <v>0</v>
      </c>
      <c r="N70" s="213">
        <f>IF(N$10='CHUNG TU'!$I61,'CHUNG TU'!$L61,0)</f>
        <v>0</v>
      </c>
      <c r="O70" s="213">
        <f>IF(F70&lt;&gt;0,'CHUNG TU'!J61,"")</f>
      </c>
      <c r="P70" s="213">
        <f>IF(LEFT('CHUNG TU'!J61,3)='CPSXKD 642_yếu tố'!$H$7,'CHUNG TU'!$L61,0)</f>
        <v>0</v>
      </c>
      <c r="Q70" s="213">
        <f>IF(P70&lt;&gt;0,'CHUNG TU'!I61,"")</f>
      </c>
    </row>
    <row r="71" spans="2:17" ht="12.75">
      <c r="B71" s="213">
        <f>IF($F71+$P71&lt;&gt;0,'CHUNG TU'!A62,"")</f>
      </c>
      <c r="C71" s="213">
        <f>IF($F71+$P71&lt;&gt;0,IF('CHUNG TU'!B62&lt;&gt;"",'CHUNG TU'!B62,IF('CHUNG TU'!C62&lt;&gt;"",'CHUNG TU'!C62,'CHUNG TU'!D62)),"")</f>
      </c>
      <c r="D71" s="213">
        <f>IF($F71+$P71&lt;&gt;0,'CHUNG TU'!F62,"")</f>
      </c>
      <c r="E71" s="213">
        <f>IF($F71+$P71&lt;&gt;0,'CHUNG TU'!H62,"")</f>
      </c>
      <c r="F71" s="213">
        <f>IF(LEFT('CHUNG TU'!I62,3)='CPSXKD 642_yếu tố'!$H$7,'CHUNG TU'!$L62,0)</f>
        <v>0</v>
      </c>
      <c r="G71" s="213">
        <f>IF(G$10='CHUNG TU'!$I62,'CHUNG TU'!$L62,0)</f>
        <v>0</v>
      </c>
      <c r="H71" s="213">
        <f>IF(H$10='CHUNG TU'!$I62,'CHUNG TU'!$L62,0)</f>
        <v>0</v>
      </c>
      <c r="I71" s="213">
        <f>IF(I$10='CHUNG TU'!$I62,'CHUNG TU'!$L62,0)</f>
        <v>0</v>
      </c>
      <c r="J71" s="213">
        <f>IF(J$10='CHUNG TU'!$I62,'CHUNG TU'!$L62,0)</f>
        <v>0</v>
      </c>
      <c r="K71" s="213">
        <f>IF(K$10='CHUNG TU'!$I62,'CHUNG TU'!$L62,0)</f>
        <v>0</v>
      </c>
      <c r="L71" s="213">
        <f>IF(L$10='CHUNG TU'!$I62,'CHUNG TU'!$L62,0)</f>
        <v>0</v>
      </c>
      <c r="M71" s="213">
        <f>IF(M$10='CHUNG TU'!$I62,'CHUNG TU'!$L62,0)</f>
        <v>0</v>
      </c>
      <c r="N71" s="213">
        <f>IF(N$10='CHUNG TU'!$I62,'CHUNG TU'!$L62,0)</f>
        <v>0</v>
      </c>
      <c r="O71" s="213">
        <f>IF(F71&lt;&gt;0,'CHUNG TU'!J62,"")</f>
      </c>
      <c r="P71" s="213">
        <f>IF(LEFT('CHUNG TU'!J62,3)='CPSXKD 642_yếu tố'!$H$7,'CHUNG TU'!$L62,0)</f>
        <v>0</v>
      </c>
      <c r="Q71" s="213">
        <f>IF(P71&lt;&gt;0,'CHUNG TU'!I62,"")</f>
      </c>
    </row>
    <row r="72" spans="2:17" ht="12.75">
      <c r="B72" s="213">
        <f>IF($F72+$P72&lt;&gt;0,'CHUNG TU'!A63,"")</f>
      </c>
      <c r="C72" s="213">
        <f>IF($F72+$P72&lt;&gt;0,IF('CHUNG TU'!B63&lt;&gt;"",'CHUNG TU'!B63,IF('CHUNG TU'!C63&lt;&gt;"",'CHUNG TU'!C63,'CHUNG TU'!D63)),"")</f>
      </c>
      <c r="D72" s="213">
        <f>IF($F72+$P72&lt;&gt;0,'CHUNG TU'!F63,"")</f>
      </c>
      <c r="E72" s="213">
        <f>IF($F72+$P72&lt;&gt;0,'CHUNG TU'!H63,"")</f>
      </c>
      <c r="F72" s="213">
        <f>IF(LEFT('CHUNG TU'!I63,3)='CPSXKD 642_yếu tố'!$H$7,'CHUNG TU'!$L63,0)</f>
        <v>0</v>
      </c>
      <c r="G72" s="213">
        <f>IF(G$10='CHUNG TU'!$I63,'CHUNG TU'!$L63,0)</f>
        <v>0</v>
      </c>
      <c r="H72" s="213">
        <f>IF(H$10='CHUNG TU'!$I63,'CHUNG TU'!$L63,0)</f>
        <v>0</v>
      </c>
      <c r="I72" s="213">
        <f>IF(I$10='CHUNG TU'!$I63,'CHUNG TU'!$L63,0)</f>
        <v>0</v>
      </c>
      <c r="J72" s="213">
        <f>IF(J$10='CHUNG TU'!$I63,'CHUNG TU'!$L63,0)</f>
        <v>0</v>
      </c>
      <c r="K72" s="213">
        <f>IF(K$10='CHUNG TU'!$I63,'CHUNG TU'!$L63,0)</f>
        <v>0</v>
      </c>
      <c r="L72" s="213">
        <f>IF(L$10='CHUNG TU'!$I63,'CHUNG TU'!$L63,0)</f>
        <v>0</v>
      </c>
      <c r="M72" s="213">
        <f>IF(M$10='CHUNG TU'!$I63,'CHUNG TU'!$L63,0)</f>
        <v>0</v>
      </c>
      <c r="N72" s="213">
        <f>IF(N$10='CHUNG TU'!$I63,'CHUNG TU'!$L63,0)</f>
        <v>0</v>
      </c>
      <c r="O72" s="213">
        <f>IF(F72&lt;&gt;0,'CHUNG TU'!J63,"")</f>
      </c>
      <c r="P72" s="213">
        <f>IF(LEFT('CHUNG TU'!J63,3)='CPSXKD 642_yếu tố'!$H$7,'CHUNG TU'!$L63,0)</f>
        <v>0</v>
      </c>
      <c r="Q72" s="213">
        <f>IF(P72&lt;&gt;0,'CHUNG TU'!I63,"")</f>
      </c>
    </row>
    <row r="73" spans="2:17" ht="12.75">
      <c r="B73" s="213">
        <f>IF($F73+$P73&lt;&gt;0,'CHUNG TU'!A64,"")</f>
      </c>
      <c r="C73" s="213">
        <f>IF($F73+$P73&lt;&gt;0,IF('CHUNG TU'!B64&lt;&gt;"",'CHUNG TU'!B64,IF('CHUNG TU'!C64&lt;&gt;"",'CHUNG TU'!C64,'CHUNG TU'!D64)),"")</f>
      </c>
      <c r="D73" s="213">
        <f>IF($F73+$P73&lt;&gt;0,'CHUNG TU'!F64,"")</f>
      </c>
      <c r="E73" s="213">
        <f>IF($F73+$P73&lt;&gt;0,'CHUNG TU'!H64,"")</f>
      </c>
      <c r="F73" s="213">
        <f>IF(LEFT('CHUNG TU'!I64,3)='CPSXKD 642_yếu tố'!$H$7,'CHUNG TU'!$L64,0)</f>
        <v>0</v>
      </c>
      <c r="G73" s="213">
        <f>IF(G$10='CHUNG TU'!$I64,'CHUNG TU'!$L64,0)</f>
        <v>0</v>
      </c>
      <c r="H73" s="213">
        <f>IF(H$10='CHUNG TU'!$I64,'CHUNG TU'!$L64,0)</f>
        <v>0</v>
      </c>
      <c r="I73" s="213">
        <f>IF(I$10='CHUNG TU'!$I64,'CHUNG TU'!$L64,0)</f>
        <v>0</v>
      </c>
      <c r="J73" s="213">
        <f>IF(J$10='CHUNG TU'!$I64,'CHUNG TU'!$L64,0)</f>
        <v>0</v>
      </c>
      <c r="K73" s="213">
        <f>IF(K$10='CHUNG TU'!$I64,'CHUNG TU'!$L64,0)</f>
        <v>0</v>
      </c>
      <c r="L73" s="213">
        <f>IF(L$10='CHUNG TU'!$I64,'CHUNG TU'!$L64,0)</f>
        <v>0</v>
      </c>
      <c r="M73" s="213">
        <f>IF(M$10='CHUNG TU'!$I64,'CHUNG TU'!$L64,0)</f>
        <v>0</v>
      </c>
      <c r="N73" s="213">
        <f>IF(N$10='CHUNG TU'!$I64,'CHUNG TU'!$L64,0)</f>
        <v>0</v>
      </c>
      <c r="O73" s="213">
        <f>IF(F73&lt;&gt;0,'CHUNG TU'!J64,"")</f>
      </c>
      <c r="P73" s="213">
        <f>IF(LEFT('CHUNG TU'!J64,3)='CPSXKD 642_yếu tố'!$H$7,'CHUNG TU'!$L64,0)</f>
        <v>0</v>
      </c>
      <c r="Q73" s="213">
        <f>IF(P73&lt;&gt;0,'CHUNG TU'!I64,"")</f>
      </c>
    </row>
    <row r="74" spans="2:17" ht="12.75">
      <c r="B74" s="213">
        <f>IF($F74+$P74&lt;&gt;0,'CHUNG TU'!A65,"")</f>
      </c>
      <c r="C74" s="213">
        <f>IF($F74+$P74&lt;&gt;0,IF('CHUNG TU'!B65&lt;&gt;"",'CHUNG TU'!B65,IF('CHUNG TU'!C65&lt;&gt;"",'CHUNG TU'!C65,'CHUNG TU'!D65)),"")</f>
      </c>
      <c r="D74" s="213">
        <f>IF($F74+$P74&lt;&gt;0,'CHUNG TU'!F65,"")</f>
      </c>
      <c r="E74" s="213">
        <f>IF($F74+$P74&lt;&gt;0,'CHUNG TU'!H65,"")</f>
      </c>
      <c r="F74" s="213">
        <f>IF(LEFT('CHUNG TU'!I65,3)='CPSXKD 642_yếu tố'!$H$7,'CHUNG TU'!$L65,0)</f>
        <v>0</v>
      </c>
      <c r="G74" s="213">
        <f>IF(G$10='CHUNG TU'!$I65,'CHUNG TU'!$L65,0)</f>
        <v>0</v>
      </c>
      <c r="H74" s="213">
        <f>IF(H$10='CHUNG TU'!$I65,'CHUNG TU'!$L65,0)</f>
        <v>0</v>
      </c>
      <c r="I74" s="213">
        <f>IF(I$10='CHUNG TU'!$I65,'CHUNG TU'!$L65,0)</f>
        <v>0</v>
      </c>
      <c r="J74" s="213">
        <f>IF(J$10='CHUNG TU'!$I65,'CHUNG TU'!$L65,0)</f>
        <v>0</v>
      </c>
      <c r="K74" s="213">
        <f>IF(K$10='CHUNG TU'!$I65,'CHUNG TU'!$L65,0)</f>
        <v>0</v>
      </c>
      <c r="L74" s="213">
        <f>IF(L$10='CHUNG TU'!$I65,'CHUNG TU'!$L65,0)</f>
        <v>0</v>
      </c>
      <c r="M74" s="213">
        <f>IF(M$10='CHUNG TU'!$I65,'CHUNG TU'!$L65,0)</f>
        <v>0</v>
      </c>
      <c r="N74" s="213">
        <f>IF(N$10='CHUNG TU'!$I65,'CHUNG TU'!$L65,0)</f>
        <v>0</v>
      </c>
      <c r="O74" s="213">
        <f>IF(F74&lt;&gt;0,'CHUNG TU'!J65,"")</f>
      </c>
      <c r="P74" s="213">
        <f>IF(LEFT('CHUNG TU'!J65,3)='CPSXKD 642_yếu tố'!$H$7,'CHUNG TU'!$L65,0)</f>
        <v>0</v>
      </c>
      <c r="Q74" s="213">
        <f>IF(P74&lt;&gt;0,'CHUNG TU'!I65,"")</f>
      </c>
    </row>
    <row r="75" spans="2:17" ht="12.75">
      <c r="B75" s="213">
        <f>IF($F75+$P75&lt;&gt;0,'CHUNG TU'!A66,"")</f>
      </c>
      <c r="C75" s="213">
        <f>IF($F75+$P75&lt;&gt;0,IF('CHUNG TU'!B66&lt;&gt;"",'CHUNG TU'!B66,IF('CHUNG TU'!C66&lt;&gt;"",'CHUNG TU'!C66,'CHUNG TU'!D66)),"")</f>
      </c>
      <c r="D75" s="213">
        <f>IF($F75+$P75&lt;&gt;0,'CHUNG TU'!F66,"")</f>
      </c>
      <c r="E75" s="213">
        <f>IF($F75+$P75&lt;&gt;0,'CHUNG TU'!H66,"")</f>
      </c>
      <c r="F75" s="213">
        <f>IF(LEFT('CHUNG TU'!I66,3)='CPSXKD 642_yếu tố'!$H$7,'CHUNG TU'!$L66,0)</f>
        <v>0</v>
      </c>
      <c r="G75" s="213">
        <f>IF(G$10='CHUNG TU'!$I66,'CHUNG TU'!$L66,0)</f>
        <v>0</v>
      </c>
      <c r="H75" s="213">
        <f>IF(H$10='CHUNG TU'!$I66,'CHUNG TU'!$L66,0)</f>
        <v>0</v>
      </c>
      <c r="I75" s="213">
        <f>IF(I$10='CHUNG TU'!$I66,'CHUNG TU'!$L66,0)</f>
        <v>0</v>
      </c>
      <c r="J75" s="213">
        <f>IF(J$10='CHUNG TU'!$I66,'CHUNG TU'!$L66,0)</f>
        <v>0</v>
      </c>
      <c r="K75" s="213">
        <f>IF(K$10='CHUNG TU'!$I66,'CHUNG TU'!$L66,0)</f>
        <v>0</v>
      </c>
      <c r="L75" s="213">
        <f>IF(L$10='CHUNG TU'!$I66,'CHUNG TU'!$L66,0)</f>
        <v>0</v>
      </c>
      <c r="M75" s="213">
        <f>IF(M$10='CHUNG TU'!$I66,'CHUNG TU'!$L66,0)</f>
        <v>0</v>
      </c>
      <c r="N75" s="213">
        <f>IF(N$10='CHUNG TU'!$I66,'CHUNG TU'!$L66,0)</f>
        <v>0</v>
      </c>
      <c r="O75" s="213">
        <f>IF(F75&lt;&gt;0,'CHUNG TU'!J66,"")</f>
      </c>
      <c r="P75" s="213">
        <f>IF(LEFT('CHUNG TU'!J66,3)='CPSXKD 642_yếu tố'!$H$7,'CHUNG TU'!$L66,0)</f>
        <v>0</v>
      </c>
      <c r="Q75" s="213">
        <f>IF(P75&lt;&gt;0,'CHUNG TU'!I66,"")</f>
      </c>
    </row>
    <row r="76" spans="2:17" ht="12.75">
      <c r="B76" s="213">
        <f>IF($F76+$P76&lt;&gt;0,'CHUNG TU'!A67,"")</f>
      </c>
      <c r="C76" s="213">
        <f>IF($F76+$P76&lt;&gt;0,IF('CHUNG TU'!B67&lt;&gt;"",'CHUNG TU'!B67,IF('CHUNG TU'!C67&lt;&gt;"",'CHUNG TU'!C67,'CHUNG TU'!D67)),"")</f>
      </c>
      <c r="D76" s="213">
        <f>IF($F76+$P76&lt;&gt;0,'CHUNG TU'!F67,"")</f>
      </c>
      <c r="E76" s="213">
        <f>IF($F76+$P76&lt;&gt;0,'CHUNG TU'!H67,"")</f>
      </c>
      <c r="F76" s="213">
        <f>IF(LEFT('CHUNG TU'!I67,3)='CPSXKD 642_yếu tố'!$H$7,'CHUNG TU'!$L67,0)</f>
        <v>0</v>
      </c>
      <c r="G76" s="213">
        <f>IF(G$10='CHUNG TU'!$I67,'CHUNG TU'!$L67,0)</f>
        <v>0</v>
      </c>
      <c r="H76" s="213">
        <f>IF(H$10='CHUNG TU'!$I67,'CHUNG TU'!$L67,0)</f>
        <v>0</v>
      </c>
      <c r="I76" s="213">
        <f>IF(I$10='CHUNG TU'!$I67,'CHUNG TU'!$L67,0)</f>
        <v>0</v>
      </c>
      <c r="J76" s="213">
        <f>IF(J$10='CHUNG TU'!$I67,'CHUNG TU'!$L67,0)</f>
        <v>0</v>
      </c>
      <c r="K76" s="213">
        <f>IF(K$10='CHUNG TU'!$I67,'CHUNG TU'!$L67,0)</f>
        <v>0</v>
      </c>
      <c r="L76" s="213">
        <f>IF(L$10='CHUNG TU'!$I67,'CHUNG TU'!$L67,0)</f>
        <v>0</v>
      </c>
      <c r="M76" s="213">
        <f>IF(M$10='CHUNG TU'!$I67,'CHUNG TU'!$L67,0)</f>
        <v>0</v>
      </c>
      <c r="N76" s="213">
        <f>IF(N$10='CHUNG TU'!$I67,'CHUNG TU'!$L67,0)</f>
        <v>0</v>
      </c>
      <c r="O76" s="213">
        <f>IF(F76&lt;&gt;0,'CHUNG TU'!J67,"")</f>
      </c>
      <c r="P76" s="213">
        <f>IF(LEFT('CHUNG TU'!J67,3)='CPSXKD 642_yếu tố'!$H$7,'CHUNG TU'!$L67,0)</f>
        <v>0</v>
      </c>
      <c r="Q76" s="213">
        <f>IF(P76&lt;&gt;0,'CHUNG TU'!I67,"")</f>
      </c>
    </row>
    <row r="77" spans="2:17" ht="12.75">
      <c r="B77" s="213">
        <f>IF($F77+$P77&lt;&gt;0,'CHUNG TU'!A68,"")</f>
      </c>
      <c r="C77" s="213">
        <f>IF($F77+$P77&lt;&gt;0,IF('CHUNG TU'!B68&lt;&gt;"",'CHUNG TU'!B68,IF('CHUNG TU'!C68&lt;&gt;"",'CHUNG TU'!C68,'CHUNG TU'!D68)),"")</f>
      </c>
      <c r="D77" s="213">
        <f>IF($F77+$P77&lt;&gt;0,'CHUNG TU'!F68,"")</f>
      </c>
      <c r="E77" s="213">
        <f>IF($F77+$P77&lt;&gt;0,'CHUNG TU'!H68,"")</f>
      </c>
      <c r="F77" s="213">
        <f>IF(LEFT('CHUNG TU'!I68,3)='CPSXKD 642_yếu tố'!$H$7,'CHUNG TU'!$L68,0)</f>
        <v>0</v>
      </c>
      <c r="G77" s="213">
        <f>IF(G$10='CHUNG TU'!$I68,'CHUNG TU'!$L68,0)</f>
        <v>0</v>
      </c>
      <c r="H77" s="213">
        <f>IF(H$10='CHUNG TU'!$I68,'CHUNG TU'!$L68,0)</f>
        <v>0</v>
      </c>
      <c r="I77" s="213">
        <f>IF(I$10='CHUNG TU'!$I68,'CHUNG TU'!$L68,0)</f>
        <v>0</v>
      </c>
      <c r="J77" s="213">
        <f>IF(J$10='CHUNG TU'!$I68,'CHUNG TU'!$L68,0)</f>
        <v>0</v>
      </c>
      <c r="K77" s="213">
        <f>IF(K$10='CHUNG TU'!$I68,'CHUNG TU'!$L68,0)</f>
        <v>0</v>
      </c>
      <c r="L77" s="213">
        <f>IF(L$10='CHUNG TU'!$I68,'CHUNG TU'!$L68,0)</f>
        <v>0</v>
      </c>
      <c r="M77" s="213">
        <f>IF(M$10='CHUNG TU'!$I68,'CHUNG TU'!$L68,0)</f>
        <v>0</v>
      </c>
      <c r="N77" s="213">
        <f>IF(N$10='CHUNG TU'!$I68,'CHUNG TU'!$L68,0)</f>
        <v>0</v>
      </c>
      <c r="O77" s="213">
        <f>IF(F77&lt;&gt;0,'CHUNG TU'!J68,"")</f>
      </c>
      <c r="P77" s="213">
        <f>IF(LEFT('CHUNG TU'!J68,3)='CPSXKD 642_yếu tố'!$H$7,'CHUNG TU'!$L68,0)</f>
        <v>0</v>
      </c>
      <c r="Q77" s="213">
        <f>IF(P77&lt;&gt;0,'CHUNG TU'!I68,"")</f>
      </c>
    </row>
    <row r="78" spans="2:17" ht="12.75">
      <c r="B78" s="213">
        <f>IF($F78+$P78&lt;&gt;0,'CHUNG TU'!A69,"")</f>
      </c>
      <c r="C78" s="213">
        <f>IF($F78+$P78&lt;&gt;0,IF('CHUNG TU'!B69&lt;&gt;"",'CHUNG TU'!B69,IF('CHUNG TU'!C69&lt;&gt;"",'CHUNG TU'!C69,'CHUNG TU'!D69)),"")</f>
      </c>
      <c r="D78" s="213">
        <f>IF($F78+$P78&lt;&gt;0,'CHUNG TU'!F69,"")</f>
      </c>
      <c r="E78" s="213">
        <f>IF($F78+$P78&lt;&gt;0,'CHUNG TU'!H69,"")</f>
      </c>
      <c r="F78" s="213">
        <f>IF(LEFT('CHUNG TU'!I69,3)='CPSXKD 642_yếu tố'!$H$7,'CHUNG TU'!$L69,0)</f>
        <v>0</v>
      </c>
      <c r="G78" s="213">
        <f>IF(G$10='CHUNG TU'!$I69,'CHUNG TU'!$L69,0)</f>
        <v>0</v>
      </c>
      <c r="H78" s="213">
        <f>IF(H$10='CHUNG TU'!$I69,'CHUNG TU'!$L69,0)</f>
        <v>0</v>
      </c>
      <c r="I78" s="213">
        <f>IF(I$10='CHUNG TU'!$I69,'CHUNG TU'!$L69,0)</f>
        <v>0</v>
      </c>
      <c r="J78" s="213">
        <f>IF(J$10='CHUNG TU'!$I69,'CHUNG TU'!$L69,0)</f>
        <v>0</v>
      </c>
      <c r="K78" s="213">
        <f>IF(K$10='CHUNG TU'!$I69,'CHUNG TU'!$L69,0)</f>
        <v>0</v>
      </c>
      <c r="L78" s="213">
        <f>IF(L$10='CHUNG TU'!$I69,'CHUNG TU'!$L69,0)</f>
        <v>0</v>
      </c>
      <c r="M78" s="213">
        <f>IF(M$10='CHUNG TU'!$I69,'CHUNG TU'!$L69,0)</f>
        <v>0</v>
      </c>
      <c r="N78" s="213">
        <f>IF(N$10='CHUNG TU'!$I69,'CHUNG TU'!$L69,0)</f>
        <v>0</v>
      </c>
      <c r="O78" s="213">
        <f>IF(F78&lt;&gt;0,'CHUNG TU'!J69,"")</f>
      </c>
      <c r="P78" s="213">
        <f>IF(LEFT('CHUNG TU'!J69,3)='CPSXKD 642_yếu tố'!$H$7,'CHUNG TU'!$L69,0)</f>
        <v>0</v>
      </c>
      <c r="Q78" s="213">
        <f>IF(P78&lt;&gt;0,'CHUNG TU'!I69,"")</f>
      </c>
    </row>
    <row r="79" spans="2:17" ht="12.75">
      <c r="B79" s="213">
        <f>IF($F79+$P79&lt;&gt;0,'CHUNG TU'!A70,"")</f>
      </c>
      <c r="C79" s="213">
        <f>IF($F79+$P79&lt;&gt;0,IF('CHUNG TU'!B70&lt;&gt;"",'CHUNG TU'!B70,IF('CHUNG TU'!C70&lt;&gt;"",'CHUNG TU'!C70,'CHUNG TU'!D70)),"")</f>
      </c>
      <c r="D79" s="213">
        <f>IF($F79+$P79&lt;&gt;0,'CHUNG TU'!F70,"")</f>
      </c>
      <c r="E79" s="213">
        <f>IF($F79+$P79&lt;&gt;0,'CHUNG TU'!H70,"")</f>
      </c>
      <c r="F79" s="213">
        <f>IF(LEFT('CHUNG TU'!I70,3)='CPSXKD 642_yếu tố'!$H$7,'CHUNG TU'!$L70,0)</f>
        <v>0</v>
      </c>
      <c r="G79" s="213">
        <f>IF(G$10='CHUNG TU'!$I70,'CHUNG TU'!$L70,0)</f>
        <v>0</v>
      </c>
      <c r="H79" s="213">
        <f>IF(H$10='CHUNG TU'!$I70,'CHUNG TU'!$L70,0)</f>
        <v>0</v>
      </c>
      <c r="I79" s="213">
        <f>IF(I$10='CHUNG TU'!$I70,'CHUNG TU'!$L70,0)</f>
        <v>0</v>
      </c>
      <c r="J79" s="213">
        <f>IF(J$10='CHUNG TU'!$I70,'CHUNG TU'!$L70,0)</f>
        <v>0</v>
      </c>
      <c r="K79" s="213">
        <f>IF(K$10='CHUNG TU'!$I70,'CHUNG TU'!$L70,0)</f>
        <v>0</v>
      </c>
      <c r="L79" s="213">
        <f>IF(L$10='CHUNG TU'!$I70,'CHUNG TU'!$L70,0)</f>
        <v>0</v>
      </c>
      <c r="M79" s="213">
        <f>IF(M$10='CHUNG TU'!$I70,'CHUNG TU'!$L70,0)</f>
        <v>0</v>
      </c>
      <c r="N79" s="213">
        <f>IF(N$10='CHUNG TU'!$I70,'CHUNG TU'!$L70,0)</f>
        <v>0</v>
      </c>
      <c r="O79" s="213">
        <f>IF(F79&lt;&gt;0,'CHUNG TU'!J70,"")</f>
      </c>
      <c r="P79" s="213">
        <f>IF(LEFT('CHUNG TU'!J70,3)='CPSXKD 642_yếu tố'!$H$7,'CHUNG TU'!$L70,0)</f>
        <v>0</v>
      </c>
      <c r="Q79" s="213">
        <f>IF(P79&lt;&gt;0,'CHUNG TU'!I70,"")</f>
      </c>
    </row>
    <row r="80" spans="2:17" ht="12.75">
      <c r="B80" s="213">
        <f>IF($F80+$P80&lt;&gt;0,'CHUNG TU'!A71,"")</f>
      </c>
      <c r="C80" s="213">
        <f>IF($F80+$P80&lt;&gt;0,IF('CHUNG TU'!B71&lt;&gt;"",'CHUNG TU'!B71,IF('CHUNG TU'!C71&lt;&gt;"",'CHUNG TU'!C71,'CHUNG TU'!D71)),"")</f>
      </c>
      <c r="D80" s="213">
        <f>IF($F80+$P80&lt;&gt;0,'CHUNG TU'!F71,"")</f>
      </c>
      <c r="E80" s="213">
        <f>IF($F80+$P80&lt;&gt;0,'CHUNG TU'!H71,"")</f>
      </c>
      <c r="F80" s="213">
        <f>IF(LEFT('CHUNG TU'!I71,3)='CPSXKD 642_yếu tố'!$H$7,'CHUNG TU'!$L71,0)</f>
        <v>0</v>
      </c>
      <c r="G80" s="213">
        <f>IF(G$10='CHUNG TU'!$I71,'CHUNG TU'!$L71,0)</f>
        <v>0</v>
      </c>
      <c r="H80" s="213">
        <f>IF(H$10='CHUNG TU'!$I71,'CHUNG TU'!$L71,0)</f>
        <v>0</v>
      </c>
      <c r="I80" s="213">
        <f>IF(I$10='CHUNG TU'!$I71,'CHUNG TU'!$L71,0)</f>
        <v>0</v>
      </c>
      <c r="J80" s="213">
        <f>IF(J$10='CHUNG TU'!$I71,'CHUNG TU'!$L71,0)</f>
        <v>0</v>
      </c>
      <c r="K80" s="213">
        <f>IF(K$10='CHUNG TU'!$I71,'CHUNG TU'!$L71,0)</f>
        <v>0</v>
      </c>
      <c r="L80" s="213">
        <f>IF(L$10='CHUNG TU'!$I71,'CHUNG TU'!$L71,0)</f>
        <v>0</v>
      </c>
      <c r="M80" s="213">
        <f>IF(M$10='CHUNG TU'!$I71,'CHUNG TU'!$L71,0)</f>
        <v>0</v>
      </c>
      <c r="N80" s="213">
        <f>IF(N$10='CHUNG TU'!$I71,'CHUNG TU'!$L71,0)</f>
        <v>0</v>
      </c>
      <c r="O80" s="213">
        <f>IF(F80&lt;&gt;0,'CHUNG TU'!J71,"")</f>
      </c>
      <c r="P80" s="213">
        <f>IF(LEFT('CHUNG TU'!J71,3)='CPSXKD 642_yếu tố'!$H$7,'CHUNG TU'!$L71,0)</f>
        <v>0</v>
      </c>
      <c r="Q80" s="213">
        <f>IF(P80&lt;&gt;0,'CHUNG TU'!I71,"")</f>
      </c>
    </row>
    <row r="81" spans="2:17" ht="12.75">
      <c r="B81" s="213">
        <f>IF($F81+$P81&lt;&gt;0,'CHUNG TU'!A72,"")</f>
      </c>
      <c r="C81" s="213">
        <f>IF($F81+$P81&lt;&gt;0,IF('CHUNG TU'!B72&lt;&gt;"",'CHUNG TU'!B72,IF('CHUNG TU'!C72&lt;&gt;"",'CHUNG TU'!C72,'CHUNG TU'!D72)),"")</f>
      </c>
      <c r="D81" s="213">
        <f>IF($F81+$P81&lt;&gt;0,'CHUNG TU'!F72,"")</f>
      </c>
      <c r="E81" s="213">
        <f>IF($F81+$P81&lt;&gt;0,'CHUNG TU'!H72,"")</f>
      </c>
      <c r="F81" s="213">
        <f>IF(LEFT('CHUNG TU'!I72,3)='CPSXKD 642_yếu tố'!$H$7,'CHUNG TU'!$L72,0)</f>
        <v>0</v>
      </c>
      <c r="G81" s="213">
        <f>IF(G$10='CHUNG TU'!$I72,'CHUNG TU'!$L72,0)</f>
        <v>0</v>
      </c>
      <c r="H81" s="213">
        <f>IF(H$10='CHUNG TU'!$I72,'CHUNG TU'!$L72,0)</f>
        <v>0</v>
      </c>
      <c r="I81" s="213">
        <f>IF(I$10='CHUNG TU'!$I72,'CHUNG TU'!$L72,0)</f>
        <v>0</v>
      </c>
      <c r="J81" s="213">
        <f>IF(J$10='CHUNG TU'!$I72,'CHUNG TU'!$L72,0)</f>
        <v>0</v>
      </c>
      <c r="K81" s="213">
        <f>IF(K$10='CHUNG TU'!$I72,'CHUNG TU'!$L72,0)</f>
        <v>0</v>
      </c>
      <c r="L81" s="213">
        <f>IF(L$10='CHUNG TU'!$I72,'CHUNG TU'!$L72,0)</f>
        <v>0</v>
      </c>
      <c r="M81" s="213">
        <f>IF(M$10='CHUNG TU'!$I72,'CHUNG TU'!$L72,0)</f>
        <v>0</v>
      </c>
      <c r="N81" s="213">
        <f>IF(N$10='CHUNG TU'!$I72,'CHUNG TU'!$L72,0)</f>
        <v>0</v>
      </c>
      <c r="O81" s="213">
        <f>IF(F81&lt;&gt;0,'CHUNG TU'!J72,"")</f>
      </c>
      <c r="P81" s="213">
        <f>IF(LEFT('CHUNG TU'!J72,3)='CPSXKD 642_yếu tố'!$H$7,'CHUNG TU'!$L72,0)</f>
        <v>0</v>
      </c>
      <c r="Q81" s="213">
        <f>IF(P81&lt;&gt;0,'CHUNG TU'!I72,"")</f>
      </c>
    </row>
    <row r="82" spans="2:17" ht="12.75">
      <c r="B82" s="213">
        <f>IF($F82+$P82&lt;&gt;0,'CHUNG TU'!A73,"")</f>
      </c>
      <c r="C82" s="213">
        <f>IF($F82+$P82&lt;&gt;0,IF('CHUNG TU'!B73&lt;&gt;"",'CHUNG TU'!B73,IF('CHUNG TU'!C73&lt;&gt;"",'CHUNG TU'!C73,'CHUNG TU'!D73)),"")</f>
      </c>
      <c r="D82" s="213">
        <f>IF($F82+$P82&lt;&gt;0,'CHUNG TU'!F73,"")</f>
      </c>
      <c r="E82" s="213">
        <f>IF($F82+$P82&lt;&gt;0,'CHUNG TU'!H73,"")</f>
      </c>
      <c r="F82" s="213">
        <f>IF(LEFT('CHUNG TU'!I73,3)='CPSXKD 642_yếu tố'!$H$7,'CHUNG TU'!$L73,0)</f>
        <v>0</v>
      </c>
      <c r="G82" s="213">
        <f>IF(G$10='CHUNG TU'!$I73,'CHUNG TU'!$L73,0)</f>
        <v>0</v>
      </c>
      <c r="H82" s="213">
        <f>IF(H$10='CHUNG TU'!$I73,'CHUNG TU'!$L73,0)</f>
        <v>0</v>
      </c>
      <c r="I82" s="213">
        <f>IF(I$10='CHUNG TU'!$I73,'CHUNG TU'!$L73,0)</f>
        <v>0</v>
      </c>
      <c r="J82" s="213">
        <f>IF(J$10='CHUNG TU'!$I73,'CHUNG TU'!$L73,0)</f>
        <v>0</v>
      </c>
      <c r="K82" s="213">
        <f>IF(K$10='CHUNG TU'!$I73,'CHUNG TU'!$L73,0)</f>
        <v>0</v>
      </c>
      <c r="L82" s="213">
        <f>IF(L$10='CHUNG TU'!$I73,'CHUNG TU'!$L73,0)</f>
        <v>0</v>
      </c>
      <c r="M82" s="213">
        <f>IF(M$10='CHUNG TU'!$I73,'CHUNG TU'!$L73,0)</f>
        <v>0</v>
      </c>
      <c r="N82" s="213">
        <f>IF(N$10='CHUNG TU'!$I73,'CHUNG TU'!$L73,0)</f>
        <v>0</v>
      </c>
      <c r="O82" s="213">
        <f>IF(F82&lt;&gt;0,'CHUNG TU'!J73,"")</f>
      </c>
      <c r="P82" s="213">
        <f>IF(LEFT('CHUNG TU'!J73,3)='CPSXKD 642_yếu tố'!$H$7,'CHUNG TU'!$L73,0)</f>
        <v>0</v>
      </c>
      <c r="Q82" s="213">
        <f>IF(P82&lt;&gt;0,'CHUNG TU'!I73,"")</f>
      </c>
    </row>
    <row r="83" spans="2:17" ht="12.75">
      <c r="B83" s="213">
        <f>IF($F83+$P83&lt;&gt;0,'CHUNG TU'!A74,"")</f>
      </c>
      <c r="C83" s="213">
        <f>IF($F83+$P83&lt;&gt;0,IF('CHUNG TU'!B74&lt;&gt;"",'CHUNG TU'!B74,IF('CHUNG TU'!C74&lt;&gt;"",'CHUNG TU'!C74,'CHUNG TU'!D74)),"")</f>
      </c>
      <c r="D83" s="213">
        <f>IF($F83+$P83&lt;&gt;0,'CHUNG TU'!F74,"")</f>
      </c>
      <c r="E83" s="213">
        <f>IF($F83+$P83&lt;&gt;0,'CHUNG TU'!H74,"")</f>
      </c>
      <c r="F83" s="213">
        <f>IF(LEFT('CHUNG TU'!I74,3)='CPSXKD 642_yếu tố'!$H$7,'CHUNG TU'!$L74,0)</f>
        <v>0</v>
      </c>
      <c r="G83" s="213">
        <f>IF(G$10='CHUNG TU'!$I74,'CHUNG TU'!$L74,0)</f>
        <v>0</v>
      </c>
      <c r="H83" s="213">
        <f>IF(H$10='CHUNG TU'!$I74,'CHUNG TU'!$L74,0)</f>
        <v>0</v>
      </c>
      <c r="I83" s="213">
        <f>IF(I$10='CHUNG TU'!$I74,'CHUNG TU'!$L74,0)</f>
        <v>0</v>
      </c>
      <c r="J83" s="213">
        <f>IF(J$10='CHUNG TU'!$I74,'CHUNG TU'!$L74,0)</f>
        <v>0</v>
      </c>
      <c r="K83" s="213">
        <f>IF(K$10='CHUNG TU'!$I74,'CHUNG TU'!$L74,0)</f>
        <v>0</v>
      </c>
      <c r="L83" s="213">
        <f>IF(L$10='CHUNG TU'!$I74,'CHUNG TU'!$L74,0)</f>
        <v>0</v>
      </c>
      <c r="M83" s="213">
        <f>IF(M$10='CHUNG TU'!$I74,'CHUNG TU'!$L74,0)</f>
        <v>0</v>
      </c>
      <c r="N83" s="213">
        <f>IF(N$10='CHUNG TU'!$I74,'CHUNG TU'!$L74,0)</f>
        <v>0</v>
      </c>
      <c r="O83" s="213">
        <f>IF(F83&lt;&gt;0,'CHUNG TU'!J74,"")</f>
      </c>
      <c r="P83" s="213">
        <f>IF(LEFT('CHUNG TU'!J74,3)='CPSXKD 642_yếu tố'!$H$7,'CHUNG TU'!$L74,0)</f>
        <v>0</v>
      </c>
      <c r="Q83" s="213">
        <f>IF(P83&lt;&gt;0,'CHUNG TU'!I74,"")</f>
      </c>
    </row>
    <row r="84" spans="2:17" ht="12.75">
      <c r="B84" s="213">
        <f>IF($F84+$P84&lt;&gt;0,'CHUNG TU'!A75,"")</f>
      </c>
      <c r="C84" s="213">
        <f>IF($F84+$P84&lt;&gt;0,IF('CHUNG TU'!B75&lt;&gt;"",'CHUNG TU'!B75,IF('CHUNG TU'!C75&lt;&gt;"",'CHUNG TU'!C75,'CHUNG TU'!D75)),"")</f>
      </c>
      <c r="D84" s="213">
        <f>IF($F84+$P84&lt;&gt;0,'CHUNG TU'!F75,"")</f>
      </c>
      <c r="E84" s="213">
        <f>IF($F84+$P84&lt;&gt;0,'CHUNG TU'!H75,"")</f>
      </c>
      <c r="F84" s="213">
        <f>IF(LEFT('CHUNG TU'!I75,3)='CPSXKD 642_yếu tố'!$H$7,'CHUNG TU'!$L75,0)</f>
        <v>0</v>
      </c>
      <c r="G84" s="213">
        <f>IF(G$10='CHUNG TU'!$I75,'CHUNG TU'!$L75,0)</f>
        <v>0</v>
      </c>
      <c r="H84" s="213">
        <f>IF(H$10='CHUNG TU'!$I75,'CHUNG TU'!$L75,0)</f>
        <v>0</v>
      </c>
      <c r="I84" s="213">
        <f>IF(I$10='CHUNG TU'!$I75,'CHUNG TU'!$L75,0)</f>
        <v>0</v>
      </c>
      <c r="J84" s="213">
        <f>IF(J$10='CHUNG TU'!$I75,'CHUNG TU'!$L75,0)</f>
        <v>0</v>
      </c>
      <c r="K84" s="213">
        <f>IF(K$10='CHUNG TU'!$I75,'CHUNG TU'!$L75,0)</f>
        <v>0</v>
      </c>
      <c r="L84" s="213">
        <f>IF(L$10='CHUNG TU'!$I75,'CHUNG TU'!$L75,0)</f>
        <v>0</v>
      </c>
      <c r="M84" s="213">
        <f>IF(M$10='CHUNG TU'!$I75,'CHUNG TU'!$L75,0)</f>
        <v>0</v>
      </c>
      <c r="N84" s="213">
        <f>IF(N$10='CHUNG TU'!$I75,'CHUNG TU'!$L75,0)</f>
        <v>0</v>
      </c>
      <c r="O84" s="213">
        <f>IF(F84&lt;&gt;0,'CHUNG TU'!J75,"")</f>
      </c>
      <c r="P84" s="213">
        <f>IF(LEFT('CHUNG TU'!J75,3)='CPSXKD 642_yếu tố'!$H$7,'CHUNG TU'!$L75,0)</f>
        <v>0</v>
      </c>
      <c r="Q84" s="213">
        <f>IF(P84&lt;&gt;0,'CHUNG TU'!I75,"")</f>
      </c>
    </row>
    <row r="85" spans="2:17" ht="12.75">
      <c r="B85" s="213">
        <f>IF($F85+$P85&lt;&gt;0,'CHUNG TU'!A76,"")</f>
      </c>
      <c r="C85" s="213">
        <f>IF($F85+$P85&lt;&gt;0,IF('CHUNG TU'!B76&lt;&gt;"",'CHUNG TU'!B76,IF('CHUNG TU'!C76&lt;&gt;"",'CHUNG TU'!C76,'CHUNG TU'!D76)),"")</f>
      </c>
      <c r="D85" s="213">
        <f>IF($F85+$P85&lt;&gt;0,'CHUNG TU'!F76,"")</f>
      </c>
      <c r="E85" s="213">
        <f>IF($F85+$P85&lt;&gt;0,'CHUNG TU'!H76,"")</f>
      </c>
      <c r="F85" s="213">
        <f>IF(LEFT('CHUNG TU'!I76,3)='CPSXKD 642_yếu tố'!$H$7,'CHUNG TU'!$L76,0)</f>
        <v>0</v>
      </c>
      <c r="G85" s="213">
        <f>IF(G$10='CHUNG TU'!$I76,'CHUNG TU'!$L76,0)</f>
        <v>0</v>
      </c>
      <c r="H85" s="213">
        <f>IF(H$10='CHUNG TU'!$I76,'CHUNG TU'!$L76,0)</f>
        <v>0</v>
      </c>
      <c r="I85" s="213">
        <f>IF(I$10='CHUNG TU'!$I76,'CHUNG TU'!$L76,0)</f>
        <v>0</v>
      </c>
      <c r="J85" s="213">
        <f>IF(J$10='CHUNG TU'!$I76,'CHUNG TU'!$L76,0)</f>
        <v>0</v>
      </c>
      <c r="K85" s="213">
        <f>IF(K$10='CHUNG TU'!$I76,'CHUNG TU'!$L76,0)</f>
        <v>0</v>
      </c>
      <c r="L85" s="213">
        <f>IF(L$10='CHUNG TU'!$I76,'CHUNG TU'!$L76,0)</f>
        <v>0</v>
      </c>
      <c r="M85" s="213">
        <f>IF(M$10='CHUNG TU'!$I76,'CHUNG TU'!$L76,0)</f>
        <v>0</v>
      </c>
      <c r="N85" s="213">
        <f>IF(N$10='CHUNG TU'!$I76,'CHUNG TU'!$L76,0)</f>
        <v>0</v>
      </c>
      <c r="O85" s="213">
        <f>IF(F85&lt;&gt;0,'CHUNG TU'!J76,"")</f>
      </c>
      <c r="P85" s="213">
        <f>IF(LEFT('CHUNG TU'!J76,3)='CPSXKD 642_yếu tố'!$H$7,'CHUNG TU'!$L76,0)</f>
        <v>0</v>
      </c>
      <c r="Q85" s="213">
        <f>IF(P85&lt;&gt;0,'CHUNG TU'!I76,"")</f>
      </c>
    </row>
    <row r="86" spans="2:17" ht="12.75">
      <c r="B86" s="213">
        <f>IF($F86+$P86&lt;&gt;0,'CHUNG TU'!A77,"")</f>
      </c>
      <c r="C86" s="213">
        <f>IF($F86+$P86&lt;&gt;0,IF('CHUNG TU'!B77&lt;&gt;"",'CHUNG TU'!B77,IF('CHUNG TU'!C77&lt;&gt;"",'CHUNG TU'!C77,'CHUNG TU'!D77)),"")</f>
      </c>
      <c r="D86" s="213">
        <f>IF($F86+$P86&lt;&gt;0,'CHUNG TU'!F77,"")</f>
      </c>
      <c r="E86" s="213">
        <f>IF($F86+$P86&lt;&gt;0,'CHUNG TU'!H77,"")</f>
      </c>
      <c r="F86" s="213">
        <f>IF(LEFT('CHUNG TU'!I77,3)='CPSXKD 642_yếu tố'!$H$7,'CHUNG TU'!$L77,0)</f>
        <v>0</v>
      </c>
      <c r="G86" s="213">
        <f>IF(G$10='CHUNG TU'!$I77,'CHUNG TU'!$L77,0)</f>
        <v>0</v>
      </c>
      <c r="H86" s="213">
        <f>IF(H$10='CHUNG TU'!$I77,'CHUNG TU'!$L77,0)</f>
        <v>0</v>
      </c>
      <c r="I86" s="213">
        <f>IF(I$10='CHUNG TU'!$I77,'CHUNG TU'!$L77,0)</f>
        <v>0</v>
      </c>
      <c r="J86" s="213">
        <f>IF(J$10='CHUNG TU'!$I77,'CHUNG TU'!$L77,0)</f>
        <v>0</v>
      </c>
      <c r="K86" s="213">
        <f>IF(K$10='CHUNG TU'!$I77,'CHUNG TU'!$L77,0)</f>
        <v>0</v>
      </c>
      <c r="L86" s="213">
        <f>IF(L$10='CHUNG TU'!$I77,'CHUNG TU'!$L77,0)</f>
        <v>0</v>
      </c>
      <c r="M86" s="213">
        <f>IF(M$10='CHUNG TU'!$I77,'CHUNG TU'!$L77,0)</f>
        <v>0</v>
      </c>
      <c r="N86" s="213">
        <f>IF(N$10='CHUNG TU'!$I77,'CHUNG TU'!$L77,0)</f>
        <v>0</v>
      </c>
      <c r="O86" s="213">
        <f>IF(F86&lt;&gt;0,'CHUNG TU'!J77,"")</f>
      </c>
      <c r="P86" s="213">
        <f>IF(LEFT('CHUNG TU'!J77,3)='CPSXKD 642_yếu tố'!$H$7,'CHUNG TU'!$L77,0)</f>
        <v>0</v>
      </c>
      <c r="Q86" s="213">
        <f>IF(P86&lt;&gt;0,'CHUNG TU'!I77,"")</f>
      </c>
    </row>
    <row r="87" spans="2:17" ht="12.75">
      <c r="B87" s="213">
        <f>IF($F87+$P87&lt;&gt;0,'CHUNG TU'!A78,"")</f>
      </c>
      <c r="C87" s="213">
        <f>IF($F87+$P87&lt;&gt;0,IF('CHUNG TU'!B78&lt;&gt;"",'CHUNG TU'!B78,IF('CHUNG TU'!C78&lt;&gt;"",'CHUNG TU'!C78,'CHUNG TU'!D78)),"")</f>
      </c>
      <c r="D87" s="213">
        <f>IF($F87+$P87&lt;&gt;0,'CHUNG TU'!F78,"")</f>
      </c>
      <c r="E87" s="213">
        <f>IF($F87+$P87&lt;&gt;0,'CHUNG TU'!H78,"")</f>
      </c>
      <c r="F87" s="213">
        <f>IF(LEFT('CHUNG TU'!I78,3)='CPSXKD 642_yếu tố'!$H$7,'CHUNG TU'!$L78,0)</f>
        <v>0</v>
      </c>
      <c r="G87" s="213">
        <f>IF(G$10='CHUNG TU'!$I78,'CHUNG TU'!$L78,0)</f>
        <v>0</v>
      </c>
      <c r="H87" s="213">
        <f>IF(H$10='CHUNG TU'!$I78,'CHUNG TU'!$L78,0)</f>
        <v>0</v>
      </c>
      <c r="I87" s="213">
        <f>IF(I$10='CHUNG TU'!$I78,'CHUNG TU'!$L78,0)</f>
        <v>0</v>
      </c>
      <c r="J87" s="213">
        <f>IF(J$10='CHUNG TU'!$I78,'CHUNG TU'!$L78,0)</f>
        <v>0</v>
      </c>
      <c r="K87" s="213">
        <f>IF(K$10='CHUNG TU'!$I78,'CHUNG TU'!$L78,0)</f>
        <v>0</v>
      </c>
      <c r="L87" s="213">
        <f>IF(L$10='CHUNG TU'!$I78,'CHUNG TU'!$L78,0)</f>
        <v>0</v>
      </c>
      <c r="M87" s="213">
        <f>IF(M$10='CHUNG TU'!$I78,'CHUNG TU'!$L78,0)</f>
        <v>0</v>
      </c>
      <c r="N87" s="213">
        <f>IF(N$10='CHUNG TU'!$I78,'CHUNG TU'!$L78,0)</f>
        <v>0</v>
      </c>
      <c r="O87" s="213">
        <f>IF(F87&lt;&gt;0,'CHUNG TU'!J78,"")</f>
      </c>
      <c r="P87" s="213">
        <f>IF(LEFT('CHUNG TU'!J78,3)='CPSXKD 642_yếu tố'!$H$7,'CHUNG TU'!$L78,0)</f>
        <v>0</v>
      </c>
      <c r="Q87" s="213">
        <f>IF(P87&lt;&gt;0,'CHUNG TU'!I78,"")</f>
      </c>
    </row>
    <row r="88" spans="2:17" ht="12.75">
      <c r="B88" s="213">
        <f>IF($F88+$P88&lt;&gt;0,'CHUNG TU'!A79,"")</f>
      </c>
      <c r="C88" s="213">
        <f>IF($F88+$P88&lt;&gt;0,IF('CHUNG TU'!B79&lt;&gt;"",'CHUNG TU'!B79,IF('CHUNG TU'!C79&lt;&gt;"",'CHUNG TU'!C79,'CHUNG TU'!D79)),"")</f>
      </c>
      <c r="D88" s="213">
        <f>IF($F88+$P88&lt;&gt;0,'CHUNG TU'!F79,"")</f>
      </c>
      <c r="E88" s="213">
        <f>IF($F88+$P88&lt;&gt;0,'CHUNG TU'!H79,"")</f>
      </c>
      <c r="F88" s="213">
        <f>IF(LEFT('CHUNG TU'!I79,3)='CPSXKD 642_yếu tố'!$H$7,'CHUNG TU'!$L79,0)</f>
        <v>0</v>
      </c>
      <c r="G88" s="213">
        <f>IF(G$10='CHUNG TU'!$I79,'CHUNG TU'!$L79,0)</f>
        <v>0</v>
      </c>
      <c r="H88" s="213">
        <f>IF(H$10='CHUNG TU'!$I79,'CHUNG TU'!$L79,0)</f>
        <v>0</v>
      </c>
      <c r="I88" s="213">
        <f>IF(I$10='CHUNG TU'!$I79,'CHUNG TU'!$L79,0)</f>
        <v>0</v>
      </c>
      <c r="J88" s="213">
        <f>IF(J$10='CHUNG TU'!$I79,'CHUNG TU'!$L79,0)</f>
        <v>0</v>
      </c>
      <c r="K88" s="213">
        <f>IF(K$10='CHUNG TU'!$I79,'CHUNG TU'!$L79,0)</f>
        <v>0</v>
      </c>
      <c r="L88" s="213">
        <f>IF(L$10='CHUNG TU'!$I79,'CHUNG TU'!$L79,0)</f>
        <v>0</v>
      </c>
      <c r="M88" s="213">
        <f>IF(M$10='CHUNG TU'!$I79,'CHUNG TU'!$L79,0)</f>
        <v>0</v>
      </c>
      <c r="N88" s="213">
        <f>IF(N$10='CHUNG TU'!$I79,'CHUNG TU'!$L79,0)</f>
        <v>0</v>
      </c>
      <c r="O88" s="213">
        <f>IF(F88&lt;&gt;0,'CHUNG TU'!J79,"")</f>
      </c>
      <c r="P88" s="213">
        <f>IF(LEFT('CHUNG TU'!J79,3)='CPSXKD 642_yếu tố'!$H$7,'CHUNG TU'!$L79,0)</f>
        <v>0</v>
      </c>
      <c r="Q88" s="213">
        <f>IF(P88&lt;&gt;0,'CHUNG TU'!I79,"")</f>
      </c>
    </row>
    <row r="89" spans="2:17" ht="12.75">
      <c r="B89" s="213">
        <f>IF($F89+$P89&lt;&gt;0,'CHUNG TU'!A80,"")</f>
      </c>
      <c r="C89" s="213">
        <f>IF($F89+$P89&lt;&gt;0,IF('CHUNG TU'!B80&lt;&gt;"",'CHUNG TU'!B80,IF('CHUNG TU'!C80&lt;&gt;"",'CHUNG TU'!C80,'CHUNG TU'!D80)),"")</f>
      </c>
      <c r="D89" s="213">
        <f>IF($F89+$P89&lt;&gt;0,'CHUNG TU'!F80,"")</f>
      </c>
      <c r="E89" s="213">
        <f>IF($F89+$P89&lt;&gt;0,'CHUNG TU'!H80,"")</f>
      </c>
      <c r="F89" s="213">
        <f>IF(LEFT('CHUNG TU'!I80,3)='CPSXKD 642_yếu tố'!$H$7,'CHUNG TU'!$L80,0)</f>
        <v>0</v>
      </c>
      <c r="G89" s="213">
        <f>IF(G$10='CHUNG TU'!$I80,'CHUNG TU'!$L80,0)</f>
        <v>0</v>
      </c>
      <c r="H89" s="213">
        <f>IF(H$10='CHUNG TU'!$I80,'CHUNG TU'!$L80,0)</f>
        <v>0</v>
      </c>
      <c r="I89" s="213">
        <f>IF(I$10='CHUNG TU'!$I80,'CHUNG TU'!$L80,0)</f>
        <v>0</v>
      </c>
      <c r="J89" s="213">
        <f>IF(J$10='CHUNG TU'!$I80,'CHUNG TU'!$L80,0)</f>
        <v>0</v>
      </c>
      <c r="K89" s="213">
        <f>IF(K$10='CHUNG TU'!$I80,'CHUNG TU'!$L80,0)</f>
        <v>0</v>
      </c>
      <c r="L89" s="213">
        <f>IF(L$10='CHUNG TU'!$I80,'CHUNG TU'!$L80,0)</f>
        <v>0</v>
      </c>
      <c r="M89" s="213">
        <f>IF(M$10='CHUNG TU'!$I80,'CHUNG TU'!$L80,0)</f>
        <v>0</v>
      </c>
      <c r="N89" s="213">
        <f>IF(N$10='CHUNG TU'!$I80,'CHUNG TU'!$L80,0)</f>
        <v>0</v>
      </c>
      <c r="O89" s="213">
        <f>IF(F89&lt;&gt;0,'CHUNG TU'!J80,"")</f>
      </c>
      <c r="P89" s="213">
        <f>IF(LEFT('CHUNG TU'!J80,3)='CPSXKD 642_yếu tố'!$H$7,'CHUNG TU'!$L80,0)</f>
        <v>0</v>
      </c>
      <c r="Q89" s="213">
        <f>IF(P89&lt;&gt;0,'CHUNG TU'!I80,"")</f>
      </c>
    </row>
    <row r="90" spans="2:17" ht="12.75">
      <c r="B90" s="213">
        <f>IF($F90+$P90&lt;&gt;0,'CHUNG TU'!A81,"")</f>
      </c>
      <c r="C90" s="213">
        <f>IF($F90+$P90&lt;&gt;0,IF('CHUNG TU'!B81&lt;&gt;"",'CHUNG TU'!B81,IF('CHUNG TU'!C81&lt;&gt;"",'CHUNG TU'!C81,'CHUNG TU'!D81)),"")</f>
      </c>
      <c r="D90" s="213">
        <f>IF($F90+$P90&lt;&gt;0,'CHUNG TU'!F81,"")</f>
      </c>
      <c r="E90" s="213">
        <f>IF($F90+$P90&lt;&gt;0,'CHUNG TU'!H81,"")</f>
      </c>
      <c r="F90" s="213">
        <f>IF(LEFT('CHUNG TU'!I81,3)='CPSXKD 642_yếu tố'!$H$7,'CHUNG TU'!$L81,0)</f>
        <v>0</v>
      </c>
      <c r="G90" s="213">
        <f>IF(G$10='CHUNG TU'!$I81,'CHUNG TU'!$L81,0)</f>
        <v>0</v>
      </c>
      <c r="H90" s="213">
        <f>IF(H$10='CHUNG TU'!$I81,'CHUNG TU'!$L81,0)</f>
        <v>0</v>
      </c>
      <c r="I90" s="213">
        <f>IF(I$10='CHUNG TU'!$I81,'CHUNG TU'!$L81,0)</f>
        <v>0</v>
      </c>
      <c r="J90" s="213">
        <f>IF(J$10='CHUNG TU'!$I81,'CHUNG TU'!$L81,0)</f>
        <v>0</v>
      </c>
      <c r="K90" s="213">
        <f>IF(K$10='CHUNG TU'!$I81,'CHUNG TU'!$L81,0)</f>
        <v>0</v>
      </c>
      <c r="L90" s="213">
        <f>IF(L$10='CHUNG TU'!$I81,'CHUNG TU'!$L81,0)</f>
        <v>0</v>
      </c>
      <c r="M90" s="213">
        <f>IF(M$10='CHUNG TU'!$I81,'CHUNG TU'!$L81,0)</f>
        <v>0</v>
      </c>
      <c r="N90" s="213">
        <f>IF(N$10='CHUNG TU'!$I81,'CHUNG TU'!$L81,0)</f>
        <v>0</v>
      </c>
      <c r="O90" s="213">
        <f>IF(F90&lt;&gt;0,'CHUNG TU'!J81,"")</f>
      </c>
      <c r="P90" s="213">
        <f>IF(LEFT('CHUNG TU'!J81,3)='CPSXKD 642_yếu tố'!$H$7,'CHUNG TU'!$L81,0)</f>
        <v>0</v>
      </c>
      <c r="Q90" s="213">
        <f>IF(P90&lt;&gt;0,'CHUNG TU'!I81,"")</f>
      </c>
    </row>
    <row r="91" spans="2:17" ht="12.75">
      <c r="B91" s="213">
        <f>IF($F91+$P91&lt;&gt;0,'CHUNG TU'!A82,"")</f>
      </c>
      <c r="C91" s="213">
        <f>IF($F91+$P91&lt;&gt;0,IF('CHUNG TU'!B82&lt;&gt;"",'CHUNG TU'!B82,IF('CHUNG TU'!C82&lt;&gt;"",'CHUNG TU'!C82,'CHUNG TU'!D82)),"")</f>
      </c>
      <c r="D91" s="213">
        <f>IF($F91+$P91&lt;&gt;0,'CHUNG TU'!F82,"")</f>
      </c>
      <c r="E91" s="213">
        <f>IF($F91+$P91&lt;&gt;0,'CHUNG TU'!H82,"")</f>
      </c>
      <c r="F91" s="213">
        <f>IF(LEFT('CHUNG TU'!I82,3)='CPSXKD 642_yếu tố'!$H$7,'CHUNG TU'!$L82,0)</f>
        <v>0</v>
      </c>
      <c r="G91" s="213">
        <f>IF(G$10='CHUNG TU'!$I82,'CHUNG TU'!$L82,0)</f>
        <v>0</v>
      </c>
      <c r="H91" s="213">
        <f>IF(H$10='CHUNG TU'!$I82,'CHUNG TU'!$L82,0)</f>
        <v>0</v>
      </c>
      <c r="I91" s="213">
        <f>IF(I$10='CHUNG TU'!$I82,'CHUNG TU'!$L82,0)</f>
        <v>0</v>
      </c>
      <c r="J91" s="213">
        <f>IF(J$10='CHUNG TU'!$I82,'CHUNG TU'!$L82,0)</f>
        <v>0</v>
      </c>
      <c r="K91" s="213">
        <f>IF(K$10='CHUNG TU'!$I82,'CHUNG TU'!$L82,0)</f>
        <v>0</v>
      </c>
      <c r="L91" s="213">
        <f>IF(L$10='CHUNG TU'!$I82,'CHUNG TU'!$L82,0)</f>
        <v>0</v>
      </c>
      <c r="M91" s="213">
        <f>IF(M$10='CHUNG TU'!$I82,'CHUNG TU'!$L82,0)</f>
        <v>0</v>
      </c>
      <c r="N91" s="213">
        <f>IF(N$10='CHUNG TU'!$I82,'CHUNG TU'!$L82,0)</f>
        <v>0</v>
      </c>
      <c r="O91" s="213">
        <f>IF(F91&lt;&gt;0,'CHUNG TU'!J82,"")</f>
      </c>
      <c r="P91" s="213">
        <f>IF(LEFT('CHUNG TU'!J82,3)='CPSXKD 642_yếu tố'!$H$7,'CHUNG TU'!$L82,0)</f>
        <v>0</v>
      </c>
      <c r="Q91" s="213">
        <f>IF(P91&lt;&gt;0,'CHUNG TU'!I82,"")</f>
      </c>
    </row>
    <row r="92" spans="2:17" ht="12.75">
      <c r="B92" s="213">
        <f>IF($F92+$P92&lt;&gt;0,'CHUNG TU'!A83,"")</f>
      </c>
      <c r="C92" s="213">
        <f>IF($F92+$P92&lt;&gt;0,IF('CHUNG TU'!B83&lt;&gt;"",'CHUNG TU'!B83,IF('CHUNG TU'!C83&lt;&gt;"",'CHUNG TU'!C83,'CHUNG TU'!D83)),"")</f>
      </c>
      <c r="D92" s="213">
        <f>IF($F92+$P92&lt;&gt;0,'CHUNG TU'!F83,"")</f>
      </c>
      <c r="E92" s="213">
        <f>IF($F92+$P92&lt;&gt;0,'CHUNG TU'!H83,"")</f>
      </c>
      <c r="F92" s="213">
        <f>IF(LEFT('CHUNG TU'!I83,3)='CPSXKD 642_yếu tố'!$H$7,'CHUNG TU'!$L83,0)</f>
        <v>0</v>
      </c>
      <c r="G92" s="213">
        <f>IF(G$10='CHUNG TU'!$I83,'CHUNG TU'!$L83,0)</f>
        <v>0</v>
      </c>
      <c r="H92" s="213">
        <f>IF(H$10='CHUNG TU'!$I83,'CHUNG TU'!$L83,0)</f>
        <v>0</v>
      </c>
      <c r="I92" s="213">
        <f>IF(I$10='CHUNG TU'!$I83,'CHUNG TU'!$L83,0)</f>
        <v>0</v>
      </c>
      <c r="J92" s="213">
        <f>IF(J$10='CHUNG TU'!$I83,'CHUNG TU'!$L83,0)</f>
        <v>0</v>
      </c>
      <c r="K92" s="213">
        <f>IF(K$10='CHUNG TU'!$I83,'CHUNG TU'!$L83,0)</f>
        <v>0</v>
      </c>
      <c r="L92" s="213">
        <f>IF(L$10='CHUNG TU'!$I83,'CHUNG TU'!$L83,0)</f>
        <v>0</v>
      </c>
      <c r="M92" s="213">
        <f>IF(M$10='CHUNG TU'!$I83,'CHUNG TU'!$L83,0)</f>
        <v>0</v>
      </c>
      <c r="N92" s="213">
        <f>IF(N$10='CHUNG TU'!$I83,'CHUNG TU'!$L83,0)</f>
        <v>0</v>
      </c>
      <c r="O92" s="213">
        <f>IF(F92&lt;&gt;0,'CHUNG TU'!J83,"")</f>
      </c>
      <c r="P92" s="213">
        <f>IF(LEFT('CHUNG TU'!J83,3)='CPSXKD 642_yếu tố'!$H$7,'CHUNG TU'!$L83,0)</f>
        <v>0</v>
      </c>
      <c r="Q92" s="213">
        <f>IF(P92&lt;&gt;0,'CHUNG TU'!I83,"")</f>
      </c>
    </row>
    <row r="93" spans="2:17" ht="12.75">
      <c r="B93" s="213">
        <f>IF($F93+$P93&lt;&gt;0,'CHUNG TU'!A84,"")</f>
      </c>
      <c r="C93" s="213">
        <f>IF($F93+$P93&lt;&gt;0,IF('CHUNG TU'!B84&lt;&gt;"",'CHUNG TU'!B84,IF('CHUNG TU'!C84&lt;&gt;"",'CHUNG TU'!C84,'CHUNG TU'!D84)),"")</f>
      </c>
      <c r="D93" s="213">
        <f>IF($F93+$P93&lt;&gt;0,'CHUNG TU'!F84,"")</f>
      </c>
      <c r="E93" s="213">
        <f>IF($F93+$P93&lt;&gt;0,'CHUNG TU'!H84,"")</f>
      </c>
      <c r="F93" s="213">
        <f>IF(LEFT('CHUNG TU'!I84,3)='CPSXKD 642_yếu tố'!$H$7,'CHUNG TU'!$L84,0)</f>
        <v>0</v>
      </c>
      <c r="G93" s="213">
        <f>IF(G$10='CHUNG TU'!$I84,'CHUNG TU'!$L84,0)</f>
        <v>0</v>
      </c>
      <c r="H93" s="213">
        <f>IF(H$10='CHUNG TU'!$I84,'CHUNG TU'!$L84,0)</f>
        <v>0</v>
      </c>
      <c r="I93" s="213">
        <f>IF(I$10='CHUNG TU'!$I84,'CHUNG TU'!$L84,0)</f>
        <v>0</v>
      </c>
      <c r="J93" s="213">
        <f>IF(J$10='CHUNG TU'!$I84,'CHUNG TU'!$L84,0)</f>
        <v>0</v>
      </c>
      <c r="K93" s="213">
        <f>IF(K$10='CHUNG TU'!$I84,'CHUNG TU'!$L84,0)</f>
        <v>0</v>
      </c>
      <c r="L93" s="213">
        <f>IF(L$10='CHUNG TU'!$I84,'CHUNG TU'!$L84,0)</f>
        <v>0</v>
      </c>
      <c r="M93" s="213">
        <f>IF(M$10='CHUNG TU'!$I84,'CHUNG TU'!$L84,0)</f>
        <v>0</v>
      </c>
      <c r="N93" s="213">
        <f>IF(N$10='CHUNG TU'!$I84,'CHUNG TU'!$L84,0)</f>
        <v>0</v>
      </c>
      <c r="O93" s="213">
        <f>IF(F93&lt;&gt;0,'CHUNG TU'!J84,"")</f>
      </c>
      <c r="P93" s="213">
        <f>IF(LEFT('CHUNG TU'!J84,3)='CPSXKD 642_yếu tố'!$H$7,'CHUNG TU'!$L84,0)</f>
        <v>0</v>
      </c>
      <c r="Q93" s="213">
        <f>IF(P93&lt;&gt;0,'CHUNG TU'!I84,"")</f>
      </c>
    </row>
    <row r="94" spans="2:17" ht="12.75">
      <c r="B94" s="213">
        <f>IF($F94+$P94&lt;&gt;0,'CHUNG TU'!A85,"")</f>
      </c>
      <c r="C94" s="213">
        <f>IF($F94+$P94&lt;&gt;0,IF('CHUNG TU'!B85&lt;&gt;"",'CHUNG TU'!B85,IF('CHUNG TU'!C85&lt;&gt;"",'CHUNG TU'!C85,'CHUNG TU'!D85)),"")</f>
      </c>
      <c r="D94" s="213">
        <f>IF($F94+$P94&lt;&gt;0,'CHUNG TU'!F85,"")</f>
      </c>
      <c r="E94" s="213">
        <f>IF($F94+$P94&lt;&gt;0,'CHUNG TU'!H85,"")</f>
      </c>
      <c r="F94" s="213">
        <f>IF(LEFT('CHUNG TU'!I85,3)='CPSXKD 642_yếu tố'!$H$7,'CHUNG TU'!$L85,0)</f>
        <v>0</v>
      </c>
      <c r="G94" s="213">
        <f>IF(G$10='CHUNG TU'!$I85,'CHUNG TU'!$L85,0)</f>
        <v>0</v>
      </c>
      <c r="H94" s="213">
        <f>IF(H$10='CHUNG TU'!$I85,'CHUNG TU'!$L85,0)</f>
        <v>0</v>
      </c>
      <c r="I94" s="213">
        <f>IF(I$10='CHUNG TU'!$I85,'CHUNG TU'!$L85,0)</f>
        <v>0</v>
      </c>
      <c r="J94" s="213">
        <f>IF(J$10='CHUNG TU'!$I85,'CHUNG TU'!$L85,0)</f>
        <v>0</v>
      </c>
      <c r="K94" s="213">
        <f>IF(K$10='CHUNG TU'!$I85,'CHUNG TU'!$L85,0)</f>
        <v>0</v>
      </c>
      <c r="L94" s="213">
        <f>IF(L$10='CHUNG TU'!$I85,'CHUNG TU'!$L85,0)</f>
        <v>0</v>
      </c>
      <c r="M94" s="213">
        <f>IF(M$10='CHUNG TU'!$I85,'CHUNG TU'!$L85,0)</f>
        <v>0</v>
      </c>
      <c r="N94" s="213">
        <f>IF(N$10='CHUNG TU'!$I85,'CHUNG TU'!$L85,0)</f>
        <v>0</v>
      </c>
      <c r="O94" s="213">
        <f>IF(F94&lt;&gt;0,'CHUNG TU'!J85,"")</f>
      </c>
      <c r="P94" s="213">
        <f>IF(LEFT('CHUNG TU'!J85,3)='CPSXKD 642_yếu tố'!$H$7,'CHUNG TU'!$L85,0)</f>
        <v>0</v>
      </c>
      <c r="Q94" s="213">
        <f>IF(P94&lt;&gt;0,'CHUNG TU'!I85,"")</f>
      </c>
    </row>
    <row r="95" spans="2:17" ht="12.75">
      <c r="B95" s="213">
        <f>IF($F95+$P95&lt;&gt;0,'CHUNG TU'!A86,"")</f>
      </c>
      <c r="C95" s="213">
        <f>IF($F95+$P95&lt;&gt;0,IF('CHUNG TU'!B86&lt;&gt;"",'CHUNG TU'!B86,IF('CHUNG TU'!C86&lt;&gt;"",'CHUNG TU'!C86,'CHUNG TU'!D86)),"")</f>
      </c>
      <c r="D95" s="213">
        <f>IF($F95+$P95&lt;&gt;0,'CHUNG TU'!F86,"")</f>
      </c>
      <c r="E95" s="213">
        <f>IF($F95+$P95&lt;&gt;0,'CHUNG TU'!H86,"")</f>
      </c>
      <c r="F95" s="213">
        <f>IF(LEFT('CHUNG TU'!I86,3)='CPSXKD 642_yếu tố'!$H$7,'CHUNG TU'!$L86,0)</f>
        <v>0</v>
      </c>
      <c r="G95" s="213">
        <f>IF(G$10='CHUNG TU'!$I86,'CHUNG TU'!$L86,0)</f>
        <v>0</v>
      </c>
      <c r="H95" s="213">
        <f>IF(H$10='CHUNG TU'!$I86,'CHUNG TU'!$L86,0)</f>
        <v>0</v>
      </c>
      <c r="I95" s="213">
        <f>IF(I$10='CHUNG TU'!$I86,'CHUNG TU'!$L86,0)</f>
        <v>0</v>
      </c>
      <c r="J95" s="213">
        <f>IF(J$10='CHUNG TU'!$I86,'CHUNG TU'!$L86,0)</f>
        <v>0</v>
      </c>
      <c r="K95" s="213">
        <f>IF(K$10='CHUNG TU'!$I86,'CHUNG TU'!$L86,0)</f>
        <v>0</v>
      </c>
      <c r="L95" s="213">
        <f>IF(L$10='CHUNG TU'!$I86,'CHUNG TU'!$L86,0)</f>
        <v>0</v>
      </c>
      <c r="M95" s="213">
        <f>IF(M$10='CHUNG TU'!$I86,'CHUNG TU'!$L86,0)</f>
        <v>0</v>
      </c>
      <c r="N95" s="213">
        <f>IF(N$10='CHUNG TU'!$I86,'CHUNG TU'!$L86,0)</f>
        <v>0</v>
      </c>
      <c r="O95" s="213">
        <f>IF(F95&lt;&gt;0,'CHUNG TU'!J86,"")</f>
      </c>
      <c r="P95" s="213">
        <f>IF(LEFT('CHUNG TU'!J86,3)='CPSXKD 642_yếu tố'!$H$7,'CHUNG TU'!$L86,0)</f>
        <v>0</v>
      </c>
      <c r="Q95" s="213">
        <f>IF(P95&lt;&gt;0,'CHUNG TU'!I86,"")</f>
      </c>
    </row>
    <row r="96" spans="2:17" ht="12.75">
      <c r="B96" s="213">
        <f>IF($F96+$P96&lt;&gt;0,'CHUNG TU'!A87,"")</f>
      </c>
      <c r="C96" s="213">
        <f>IF($F96+$P96&lt;&gt;0,IF('CHUNG TU'!B87&lt;&gt;"",'CHUNG TU'!B87,IF('CHUNG TU'!C87&lt;&gt;"",'CHUNG TU'!C87,'CHUNG TU'!D87)),"")</f>
      </c>
      <c r="D96" s="213">
        <f>IF($F96+$P96&lt;&gt;0,'CHUNG TU'!F87,"")</f>
      </c>
      <c r="E96" s="213">
        <f>IF($F96+$P96&lt;&gt;0,'CHUNG TU'!H87,"")</f>
      </c>
      <c r="F96" s="213">
        <f>IF(LEFT('CHUNG TU'!I87,3)='CPSXKD 642_yếu tố'!$H$7,'CHUNG TU'!$L87,0)</f>
        <v>0</v>
      </c>
      <c r="G96" s="213">
        <f>IF(G$10='CHUNG TU'!$I87,'CHUNG TU'!$L87,0)</f>
        <v>0</v>
      </c>
      <c r="H96" s="213">
        <f>IF(H$10='CHUNG TU'!$I87,'CHUNG TU'!$L87,0)</f>
        <v>0</v>
      </c>
      <c r="I96" s="213">
        <f>IF(I$10='CHUNG TU'!$I87,'CHUNG TU'!$L87,0)</f>
        <v>0</v>
      </c>
      <c r="J96" s="213">
        <f>IF(J$10='CHUNG TU'!$I87,'CHUNG TU'!$L87,0)</f>
        <v>0</v>
      </c>
      <c r="K96" s="213">
        <f>IF(K$10='CHUNG TU'!$I87,'CHUNG TU'!$L87,0)</f>
        <v>0</v>
      </c>
      <c r="L96" s="213">
        <f>IF(L$10='CHUNG TU'!$I87,'CHUNG TU'!$L87,0)</f>
        <v>0</v>
      </c>
      <c r="M96" s="213">
        <f>IF(M$10='CHUNG TU'!$I87,'CHUNG TU'!$L87,0)</f>
        <v>0</v>
      </c>
      <c r="N96" s="213">
        <f>IF(N$10='CHUNG TU'!$I87,'CHUNG TU'!$L87,0)</f>
        <v>0</v>
      </c>
      <c r="O96" s="213">
        <f>IF(F96&lt;&gt;0,'CHUNG TU'!J87,"")</f>
      </c>
      <c r="P96" s="213">
        <f>IF(LEFT('CHUNG TU'!J87,3)='CPSXKD 642_yếu tố'!$H$7,'CHUNG TU'!$L87,0)</f>
        <v>0</v>
      </c>
      <c r="Q96" s="213">
        <f>IF(P96&lt;&gt;0,'CHUNG TU'!I87,"")</f>
      </c>
    </row>
    <row r="97" spans="2:17" ht="12.75">
      <c r="B97" s="213">
        <f>IF($F97+$P97&lt;&gt;0,'CHUNG TU'!A88,"")</f>
      </c>
      <c r="C97" s="213">
        <f>IF($F97+$P97&lt;&gt;0,IF('CHUNG TU'!B88&lt;&gt;"",'CHUNG TU'!B88,IF('CHUNG TU'!C88&lt;&gt;"",'CHUNG TU'!C88,'CHUNG TU'!D88)),"")</f>
      </c>
      <c r="D97" s="213">
        <f>IF($F97+$P97&lt;&gt;0,'CHUNG TU'!F88,"")</f>
      </c>
      <c r="E97" s="213">
        <f>IF($F97+$P97&lt;&gt;0,'CHUNG TU'!H88,"")</f>
      </c>
      <c r="F97" s="213">
        <f>IF(LEFT('CHUNG TU'!I88,3)='CPSXKD 642_yếu tố'!$H$7,'CHUNG TU'!$L88,0)</f>
        <v>0</v>
      </c>
      <c r="G97" s="213">
        <f>IF(G$10='CHUNG TU'!$I88,'CHUNG TU'!$L88,0)</f>
        <v>0</v>
      </c>
      <c r="H97" s="213">
        <f>IF(H$10='CHUNG TU'!$I88,'CHUNG TU'!$L88,0)</f>
        <v>0</v>
      </c>
      <c r="I97" s="213">
        <f>IF(I$10='CHUNG TU'!$I88,'CHUNG TU'!$L88,0)</f>
        <v>0</v>
      </c>
      <c r="J97" s="213">
        <f>IF(J$10='CHUNG TU'!$I88,'CHUNG TU'!$L88,0)</f>
        <v>0</v>
      </c>
      <c r="K97" s="213">
        <f>IF(K$10='CHUNG TU'!$I88,'CHUNG TU'!$L88,0)</f>
        <v>0</v>
      </c>
      <c r="L97" s="213">
        <f>IF(L$10='CHUNG TU'!$I88,'CHUNG TU'!$L88,0)</f>
        <v>0</v>
      </c>
      <c r="M97" s="213">
        <f>IF(M$10='CHUNG TU'!$I88,'CHUNG TU'!$L88,0)</f>
        <v>0</v>
      </c>
      <c r="N97" s="213">
        <f>IF(N$10='CHUNG TU'!$I88,'CHUNG TU'!$L88,0)</f>
        <v>0</v>
      </c>
      <c r="O97" s="213">
        <f>IF(F97&lt;&gt;0,'CHUNG TU'!J88,"")</f>
      </c>
      <c r="P97" s="213">
        <f>IF(LEFT('CHUNG TU'!J88,3)='CPSXKD 642_yếu tố'!$H$7,'CHUNG TU'!$L88,0)</f>
        <v>0</v>
      </c>
      <c r="Q97" s="213">
        <f>IF(P97&lt;&gt;0,'CHUNG TU'!I88,"")</f>
      </c>
    </row>
    <row r="98" spans="2:17" ht="12.75">
      <c r="B98" s="213">
        <f>IF($F98+$P98&lt;&gt;0,'CHUNG TU'!A89,"")</f>
      </c>
      <c r="C98" s="213">
        <f>IF($F98+$P98&lt;&gt;0,IF('CHUNG TU'!B89&lt;&gt;"",'CHUNG TU'!B89,IF('CHUNG TU'!C89&lt;&gt;"",'CHUNG TU'!C89,'CHUNG TU'!D89)),"")</f>
      </c>
      <c r="D98" s="213">
        <f>IF($F98+$P98&lt;&gt;0,'CHUNG TU'!F89,"")</f>
      </c>
      <c r="E98" s="213">
        <f>IF($F98+$P98&lt;&gt;0,'CHUNG TU'!H89,"")</f>
      </c>
      <c r="F98" s="213">
        <f>IF(LEFT('CHUNG TU'!I89,3)='CPSXKD 642_yếu tố'!$H$7,'CHUNG TU'!$L89,0)</f>
        <v>0</v>
      </c>
      <c r="G98" s="213">
        <f>IF(G$10='CHUNG TU'!$I89,'CHUNG TU'!$L89,0)</f>
        <v>0</v>
      </c>
      <c r="H98" s="213">
        <f>IF(H$10='CHUNG TU'!$I89,'CHUNG TU'!$L89,0)</f>
        <v>0</v>
      </c>
      <c r="I98" s="213">
        <f>IF(I$10='CHUNG TU'!$I89,'CHUNG TU'!$L89,0)</f>
        <v>0</v>
      </c>
      <c r="J98" s="213">
        <f>IF(J$10='CHUNG TU'!$I89,'CHUNG TU'!$L89,0)</f>
        <v>0</v>
      </c>
      <c r="K98" s="213">
        <f>IF(K$10='CHUNG TU'!$I89,'CHUNG TU'!$L89,0)</f>
        <v>0</v>
      </c>
      <c r="L98" s="213">
        <f>IF(L$10='CHUNG TU'!$I89,'CHUNG TU'!$L89,0)</f>
        <v>0</v>
      </c>
      <c r="M98" s="213">
        <f>IF(M$10='CHUNG TU'!$I89,'CHUNG TU'!$L89,0)</f>
        <v>0</v>
      </c>
      <c r="N98" s="213">
        <f>IF(N$10='CHUNG TU'!$I89,'CHUNG TU'!$L89,0)</f>
        <v>0</v>
      </c>
      <c r="O98" s="213">
        <f>IF(F98&lt;&gt;0,'CHUNG TU'!J89,"")</f>
      </c>
      <c r="P98" s="213">
        <f>IF(LEFT('CHUNG TU'!J89,3)='CPSXKD 642_yếu tố'!$H$7,'CHUNG TU'!$L89,0)</f>
        <v>0</v>
      </c>
      <c r="Q98" s="213">
        <f>IF(P98&lt;&gt;0,'CHUNG TU'!I89,"")</f>
      </c>
    </row>
    <row r="99" spans="2:17" ht="12.75">
      <c r="B99" s="213">
        <f>IF($F99+$P99&lt;&gt;0,'CHUNG TU'!A90,"")</f>
      </c>
      <c r="C99" s="213">
        <f>IF($F99+$P99&lt;&gt;0,IF('CHUNG TU'!B90&lt;&gt;"",'CHUNG TU'!B90,IF('CHUNG TU'!C90&lt;&gt;"",'CHUNG TU'!C90,'CHUNG TU'!D90)),"")</f>
      </c>
      <c r="D99" s="213">
        <f>IF($F99+$P99&lt;&gt;0,'CHUNG TU'!F90,"")</f>
      </c>
      <c r="E99" s="213">
        <f>IF($F99+$P99&lt;&gt;0,'CHUNG TU'!H90,"")</f>
      </c>
      <c r="F99" s="213">
        <f>IF(LEFT('CHUNG TU'!I90,3)='CPSXKD 642_yếu tố'!$H$7,'CHUNG TU'!$L90,0)</f>
        <v>0</v>
      </c>
      <c r="G99" s="213">
        <f>IF(G$10='CHUNG TU'!$I90,'CHUNG TU'!$L90,0)</f>
        <v>0</v>
      </c>
      <c r="H99" s="213">
        <f>IF(H$10='CHUNG TU'!$I90,'CHUNG TU'!$L90,0)</f>
        <v>0</v>
      </c>
      <c r="I99" s="213">
        <f>IF(I$10='CHUNG TU'!$I90,'CHUNG TU'!$L90,0)</f>
        <v>0</v>
      </c>
      <c r="J99" s="213">
        <f>IF(J$10='CHUNG TU'!$I90,'CHUNG TU'!$L90,0)</f>
        <v>0</v>
      </c>
      <c r="K99" s="213">
        <f>IF(K$10='CHUNG TU'!$I90,'CHUNG TU'!$L90,0)</f>
        <v>0</v>
      </c>
      <c r="L99" s="213">
        <f>IF(L$10='CHUNG TU'!$I90,'CHUNG TU'!$L90,0)</f>
        <v>0</v>
      </c>
      <c r="M99" s="213">
        <f>IF(M$10='CHUNG TU'!$I90,'CHUNG TU'!$L90,0)</f>
        <v>0</v>
      </c>
      <c r="N99" s="213">
        <f>IF(N$10='CHUNG TU'!$I90,'CHUNG TU'!$L90,0)</f>
        <v>0</v>
      </c>
      <c r="O99" s="213">
        <f>IF(F99&lt;&gt;0,'CHUNG TU'!J90,"")</f>
      </c>
      <c r="P99" s="213">
        <f>IF(LEFT('CHUNG TU'!J90,3)='CPSXKD 642_yếu tố'!$H$7,'CHUNG TU'!$L90,0)</f>
        <v>0</v>
      </c>
      <c r="Q99" s="213">
        <f>IF(P99&lt;&gt;0,'CHUNG TU'!I90,"")</f>
      </c>
    </row>
    <row r="100" spans="2:17" ht="12.75">
      <c r="B100" s="213">
        <f>IF($F100+$P100&lt;&gt;0,'CHUNG TU'!A91,"")</f>
      </c>
      <c r="C100" s="213">
        <f>IF($F100+$P100&lt;&gt;0,IF('CHUNG TU'!B91&lt;&gt;"",'CHUNG TU'!B91,IF('CHUNG TU'!C91&lt;&gt;"",'CHUNG TU'!C91,'CHUNG TU'!D91)),"")</f>
      </c>
      <c r="D100" s="213">
        <f>IF($F100+$P100&lt;&gt;0,'CHUNG TU'!F91,"")</f>
      </c>
      <c r="E100" s="213">
        <f>IF($F100+$P100&lt;&gt;0,'CHUNG TU'!H91,"")</f>
      </c>
      <c r="F100" s="213">
        <f>IF(LEFT('CHUNG TU'!I91,3)='CPSXKD 642_yếu tố'!$H$7,'CHUNG TU'!$L91,0)</f>
        <v>0</v>
      </c>
      <c r="G100" s="213">
        <f>IF(G$10='CHUNG TU'!$I91,'CHUNG TU'!$L91,0)</f>
        <v>0</v>
      </c>
      <c r="H100" s="213">
        <f>IF(H$10='CHUNG TU'!$I91,'CHUNG TU'!$L91,0)</f>
        <v>0</v>
      </c>
      <c r="I100" s="213">
        <f>IF(I$10='CHUNG TU'!$I91,'CHUNG TU'!$L91,0)</f>
        <v>0</v>
      </c>
      <c r="J100" s="213">
        <f>IF(J$10='CHUNG TU'!$I91,'CHUNG TU'!$L91,0)</f>
        <v>0</v>
      </c>
      <c r="K100" s="213">
        <f>IF(K$10='CHUNG TU'!$I91,'CHUNG TU'!$L91,0)</f>
        <v>0</v>
      </c>
      <c r="L100" s="213">
        <f>IF(L$10='CHUNG TU'!$I91,'CHUNG TU'!$L91,0)</f>
        <v>0</v>
      </c>
      <c r="M100" s="213">
        <f>IF(M$10='CHUNG TU'!$I91,'CHUNG TU'!$L91,0)</f>
        <v>0</v>
      </c>
      <c r="N100" s="213">
        <f>IF(N$10='CHUNG TU'!$I91,'CHUNG TU'!$L91,0)</f>
        <v>0</v>
      </c>
      <c r="O100" s="213">
        <f>IF(F100&lt;&gt;0,'CHUNG TU'!J91,"")</f>
      </c>
      <c r="P100" s="213">
        <f>IF(LEFT('CHUNG TU'!J91,3)='CPSXKD 642_yếu tố'!$H$7,'CHUNG TU'!$L91,0)</f>
        <v>0</v>
      </c>
      <c r="Q100" s="213">
        <f>IF(P100&lt;&gt;0,'CHUNG TU'!I91,"")</f>
      </c>
    </row>
    <row r="101" spans="2:17" ht="12.75">
      <c r="B101" s="213">
        <f>IF($F101+$P101&lt;&gt;0,'CHUNG TU'!A92,"")</f>
      </c>
      <c r="C101" s="213">
        <f>IF($F101+$P101&lt;&gt;0,IF('CHUNG TU'!B92&lt;&gt;"",'CHUNG TU'!B92,IF('CHUNG TU'!C92&lt;&gt;"",'CHUNG TU'!C92,'CHUNG TU'!D92)),"")</f>
      </c>
      <c r="D101" s="213">
        <f>IF($F101+$P101&lt;&gt;0,'CHUNG TU'!F92,"")</f>
      </c>
      <c r="E101" s="213">
        <f>IF($F101+$P101&lt;&gt;0,'CHUNG TU'!H92,"")</f>
      </c>
      <c r="F101" s="213">
        <f>IF(LEFT('CHUNG TU'!I92,3)='CPSXKD 642_yếu tố'!$H$7,'CHUNG TU'!$L92,0)</f>
        <v>0</v>
      </c>
      <c r="G101" s="213">
        <f>IF(G$10='CHUNG TU'!$I92,'CHUNG TU'!$L92,0)</f>
        <v>0</v>
      </c>
      <c r="H101" s="213">
        <f>IF(H$10='CHUNG TU'!$I92,'CHUNG TU'!$L92,0)</f>
        <v>0</v>
      </c>
      <c r="I101" s="213">
        <f>IF(I$10='CHUNG TU'!$I92,'CHUNG TU'!$L92,0)</f>
        <v>0</v>
      </c>
      <c r="J101" s="213">
        <f>IF(J$10='CHUNG TU'!$I92,'CHUNG TU'!$L92,0)</f>
        <v>0</v>
      </c>
      <c r="K101" s="213">
        <f>IF(K$10='CHUNG TU'!$I92,'CHUNG TU'!$L92,0)</f>
        <v>0</v>
      </c>
      <c r="L101" s="213">
        <f>IF(L$10='CHUNG TU'!$I92,'CHUNG TU'!$L92,0)</f>
        <v>0</v>
      </c>
      <c r="M101" s="213">
        <f>IF(M$10='CHUNG TU'!$I92,'CHUNG TU'!$L92,0)</f>
        <v>0</v>
      </c>
      <c r="N101" s="213">
        <f>IF(N$10='CHUNG TU'!$I92,'CHUNG TU'!$L92,0)</f>
        <v>0</v>
      </c>
      <c r="O101" s="213">
        <f>IF(F101&lt;&gt;0,'CHUNG TU'!J92,"")</f>
      </c>
      <c r="P101" s="213">
        <f>IF(LEFT('CHUNG TU'!J92,3)='CPSXKD 642_yếu tố'!$H$7,'CHUNG TU'!$L92,0)</f>
        <v>0</v>
      </c>
      <c r="Q101" s="213">
        <f>IF(P101&lt;&gt;0,'CHUNG TU'!I92,"")</f>
      </c>
    </row>
    <row r="102" spans="2:17" ht="12.75">
      <c r="B102" s="213">
        <f>IF($F102+$P102&lt;&gt;0,'CHUNG TU'!A93,"")</f>
      </c>
      <c r="C102" s="213">
        <f>IF($F102+$P102&lt;&gt;0,IF('CHUNG TU'!B93&lt;&gt;"",'CHUNG TU'!B93,IF('CHUNG TU'!C93&lt;&gt;"",'CHUNG TU'!C93,'CHUNG TU'!D93)),"")</f>
      </c>
      <c r="D102" s="213">
        <f>IF($F102+$P102&lt;&gt;0,'CHUNG TU'!F93,"")</f>
      </c>
      <c r="E102" s="213">
        <f>IF($F102+$P102&lt;&gt;0,'CHUNG TU'!H93,"")</f>
      </c>
      <c r="F102" s="213">
        <f>IF(LEFT('CHUNG TU'!I93,3)='CPSXKD 642_yếu tố'!$H$7,'CHUNG TU'!$L93,0)</f>
        <v>0</v>
      </c>
      <c r="G102" s="213">
        <f>IF(G$10='CHUNG TU'!$I93,'CHUNG TU'!$L93,0)</f>
        <v>0</v>
      </c>
      <c r="H102" s="213">
        <f>IF(H$10='CHUNG TU'!$I93,'CHUNG TU'!$L93,0)</f>
        <v>0</v>
      </c>
      <c r="I102" s="213">
        <f>IF(I$10='CHUNG TU'!$I93,'CHUNG TU'!$L93,0)</f>
        <v>0</v>
      </c>
      <c r="J102" s="213">
        <f>IF(J$10='CHUNG TU'!$I93,'CHUNG TU'!$L93,0)</f>
        <v>0</v>
      </c>
      <c r="K102" s="213">
        <f>IF(K$10='CHUNG TU'!$I93,'CHUNG TU'!$L93,0)</f>
        <v>0</v>
      </c>
      <c r="L102" s="213">
        <f>IF(L$10='CHUNG TU'!$I93,'CHUNG TU'!$L93,0)</f>
        <v>0</v>
      </c>
      <c r="M102" s="213">
        <f>IF(M$10='CHUNG TU'!$I93,'CHUNG TU'!$L93,0)</f>
        <v>0</v>
      </c>
      <c r="N102" s="213">
        <f>IF(N$10='CHUNG TU'!$I93,'CHUNG TU'!$L93,0)</f>
        <v>0</v>
      </c>
      <c r="O102" s="213">
        <f>IF(F102&lt;&gt;0,'CHUNG TU'!J93,"")</f>
      </c>
      <c r="P102" s="213">
        <f>IF(LEFT('CHUNG TU'!J93,3)='CPSXKD 642_yếu tố'!$H$7,'CHUNG TU'!$L93,0)</f>
        <v>0</v>
      </c>
      <c r="Q102" s="213">
        <f>IF(P102&lt;&gt;0,'CHUNG TU'!I93,"")</f>
      </c>
    </row>
    <row r="103" spans="2:17" ht="12.75">
      <c r="B103" s="213">
        <f>IF($F103+$P103&lt;&gt;0,'CHUNG TU'!A94,"")</f>
      </c>
      <c r="C103" s="213">
        <f>IF($F103+$P103&lt;&gt;0,IF('CHUNG TU'!B94&lt;&gt;"",'CHUNG TU'!B94,IF('CHUNG TU'!C94&lt;&gt;"",'CHUNG TU'!C94,'CHUNG TU'!D94)),"")</f>
      </c>
      <c r="D103" s="213">
        <f>IF($F103+$P103&lt;&gt;0,'CHUNG TU'!F94,"")</f>
      </c>
      <c r="E103" s="213">
        <f>IF($F103+$P103&lt;&gt;0,'CHUNG TU'!H94,"")</f>
      </c>
      <c r="F103" s="213">
        <f>IF(LEFT('CHUNG TU'!I94,3)='CPSXKD 642_yếu tố'!$H$7,'CHUNG TU'!$L94,0)</f>
        <v>0</v>
      </c>
      <c r="G103" s="213">
        <f>IF(G$10='CHUNG TU'!$I94,'CHUNG TU'!$L94,0)</f>
        <v>0</v>
      </c>
      <c r="H103" s="213">
        <f>IF(H$10='CHUNG TU'!$I94,'CHUNG TU'!$L94,0)</f>
        <v>0</v>
      </c>
      <c r="I103" s="213">
        <f>IF(I$10='CHUNG TU'!$I94,'CHUNG TU'!$L94,0)</f>
        <v>0</v>
      </c>
      <c r="J103" s="213">
        <f>IF(J$10='CHUNG TU'!$I94,'CHUNG TU'!$L94,0)</f>
        <v>0</v>
      </c>
      <c r="K103" s="213">
        <f>IF(K$10='CHUNG TU'!$I94,'CHUNG TU'!$L94,0)</f>
        <v>0</v>
      </c>
      <c r="L103" s="213">
        <f>IF(L$10='CHUNG TU'!$I94,'CHUNG TU'!$L94,0)</f>
        <v>0</v>
      </c>
      <c r="M103" s="213">
        <f>IF(M$10='CHUNG TU'!$I94,'CHUNG TU'!$L94,0)</f>
        <v>0</v>
      </c>
      <c r="N103" s="213">
        <f>IF(N$10='CHUNG TU'!$I94,'CHUNG TU'!$L94,0)</f>
        <v>0</v>
      </c>
      <c r="O103" s="213">
        <f>IF(F103&lt;&gt;0,'CHUNG TU'!J94,"")</f>
      </c>
      <c r="P103" s="213">
        <f>IF(LEFT('CHUNG TU'!J94,3)='CPSXKD 642_yếu tố'!$H$7,'CHUNG TU'!$L94,0)</f>
        <v>0</v>
      </c>
      <c r="Q103" s="213">
        <f>IF(P103&lt;&gt;0,'CHUNG TU'!I94,"")</f>
      </c>
    </row>
    <row r="104" spans="2:17" ht="12.75">
      <c r="B104" s="213">
        <f>IF($F104+$P104&lt;&gt;0,'CHUNG TU'!A95,"")</f>
      </c>
      <c r="C104" s="213">
        <f>IF($F104+$P104&lt;&gt;0,IF('CHUNG TU'!B95&lt;&gt;"",'CHUNG TU'!B95,IF('CHUNG TU'!C95&lt;&gt;"",'CHUNG TU'!C95,'CHUNG TU'!D95)),"")</f>
      </c>
      <c r="D104" s="213">
        <f>IF($F104+$P104&lt;&gt;0,'CHUNG TU'!F95,"")</f>
      </c>
      <c r="E104" s="213">
        <f>IF($F104+$P104&lt;&gt;0,'CHUNG TU'!H95,"")</f>
      </c>
      <c r="F104" s="213">
        <f>IF(LEFT('CHUNG TU'!I95,3)='CPSXKD 642_yếu tố'!$H$7,'CHUNG TU'!$L95,0)</f>
        <v>0</v>
      </c>
      <c r="G104" s="213">
        <f>IF(G$10='CHUNG TU'!$I95,'CHUNG TU'!$L95,0)</f>
        <v>0</v>
      </c>
      <c r="H104" s="213">
        <f>IF(H$10='CHUNG TU'!$I95,'CHUNG TU'!$L95,0)</f>
        <v>0</v>
      </c>
      <c r="I104" s="213">
        <f>IF(I$10='CHUNG TU'!$I95,'CHUNG TU'!$L95,0)</f>
        <v>0</v>
      </c>
      <c r="J104" s="213">
        <f>IF(J$10='CHUNG TU'!$I95,'CHUNG TU'!$L95,0)</f>
        <v>0</v>
      </c>
      <c r="K104" s="213">
        <f>IF(K$10='CHUNG TU'!$I95,'CHUNG TU'!$L95,0)</f>
        <v>0</v>
      </c>
      <c r="L104" s="213">
        <f>IF(L$10='CHUNG TU'!$I95,'CHUNG TU'!$L95,0)</f>
        <v>0</v>
      </c>
      <c r="M104" s="213">
        <f>IF(M$10='CHUNG TU'!$I95,'CHUNG TU'!$L95,0)</f>
        <v>0</v>
      </c>
      <c r="N104" s="213">
        <f>IF(N$10='CHUNG TU'!$I95,'CHUNG TU'!$L95,0)</f>
        <v>0</v>
      </c>
      <c r="O104" s="213">
        <f>IF(F104&lt;&gt;0,'CHUNG TU'!J95,"")</f>
      </c>
      <c r="P104" s="213">
        <f>IF(LEFT('CHUNG TU'!J95,3)='CPSXKD 642_yếu tố'!$H$7,'CHUNG TU'!$L95,0)</f>
        <v>0</v>
      </c>
      <c r="Q104" s="213">
        <f>IF(P104&lt;&gt;0,'CHUNG TU'!I95,"")</f>
      </c>
    </row>
    <row r="105" spans="2:17" ht="12.75">
      <c r="B105" s="213">
        <f>IF($F105+$P105&lt;&gt;0,'CHUNG TU'!A96,"")</f>
      </c>
      <c r="C105" s="213">
        <f>IF($F105+$P105&lt;&gt;0,IF('CHUNG TU'!B96&lt;&gt;"",'CHUNG TU'!B96,IF('CHUNG TU'!C96&lt;&gt;"",'CHUNG TU'!C96,'CHUNG TU'!D96)),"")</f>
      </c>
      <c r="D105" s="213">
        <f>IF($F105+$P105&lt;&gt;0,'CHUNG TU'!F96,"")</f>
      </c>
      <c r="E105" s="213">
        <f>IF($F105+$P105&lt;&gt;0,'CHUNG TU'!H96,"")</f>
      </c>
      <c r="F105" s="213">
        <f>IF(LEFT('CHUNG TU'!I96,3)='CPSXKD 642_yếu tố'!$H$7,'CHUNG TU'!$L96,0)</f>
        <v>0</v>
      </c>
      <c r="G105" s="213">
        <f>IF(G$10='CHUNG TU'!$I96,'CHUNG TU'!$L96,0)</f>
        <v>0</v>
      </c>
      <c r="H105" s="213">
        <f>IF(H$10='CHUNG TU'!$I96,'CHUNG TU'!$L96,0)</f>
        <v>0</v>
      </c>
      <c r="I105" s="213">
        <f>IF(I$10='CHUNG TU'!$I96,'CHUNG TU'!$L96,0)</f>
        <v>0</v>
      </c>
      <c r="J105" s="213">
        <f>IF(J$10='CHUNG TU'!$I96,'CHUNG TU'!$L96,0)</f>
        <v>0</v>
      </c>
      <c r="K105" s="213">
        <f>IF(K$10='CHUNG TU'!$I96,'CHUNG TU'!$L96,0)</f>
        <v>0</v>
      </c>
      <c r="L105" s="213">
        <f>IF(L$10='CHUNG TU'!$I96,'CHUNG TU'!$L96,0)</f>
        <v>0</v>
      </c>
      <c r="M105" s="213">
        <f>IF(M$10='CHUNG TU'!$I96,'CHUNG TU'!$L96,0)</f>
        <v>0</v>
      </c>
      <c r="N105" s="213">
        <f>IF(N$10='CHUNG TU'!$I96,'CHUNG TU'!$L96,0)</f>
        <v>0</v>
      </c>
      <c r="O105" s="213">
        <f>IF(F105&lt;&gt;0,'CHUNG TU'!J96,"")</f>
      </c>
      <c r="P105" s="213">
        <f>IF(LEFT('CHUNG TU'!J96,3)='CPSXKD 642_yếu tố'!$H$7,'CHUNG TU'!$L96,0)</f>
        <v>0</v>
      </c>
      <c r="Q105" s="213">
        <f>IF(P105&lt;&gt;0,'CHUNG TU'!I96,"")</f>
      </c>
    </row>
    <row r="106" spans="2:17" ht="12.75">
      <c r="B106" s="213">
        <f>IF($F106+$P106&lt;&gt;0,'CHUNG TU'!A97,"")</f>
      </c>
      <c r="C106" s="213">
        <f>IF($F106+$P106&lt;&gt;0,IF('CHUNG TU'!B97&lt;&gt;"",'CHUNG TU'!B97,IF('CHUNG TU'!C97&lt;&gt;"",'CHUNG TU'!C97,'CHUNG TU'!D97)),"")</f>
      </c>
      <c r="D106" s="213">
        <f>IF($F106+$P106&lt;&gt;0,'CHUNG TU'!F97,"")</f>
      </c>
      <c r="E106" s="213">
        <f>IF($F106+$P106&lt;&gt;0,'CHUNG TU'!H97,"")</f>
      </c>
      <c r="F106" s="213">
        <f>IF(LEFT('CHUNG TU'!I97,3)='CPSXKD 642_yếu tố'!$H$7,'CHUNG TU'!$L97,0)</f>
        <v>0</v>
      </c>
      <c r="G106" s="213">
        <f>IF(G$10='CHUNG TU'!$I97,'CHUNG TU'!$L97,0)</f>
        <v>0</v>
      </c>
      <c r="H106" s="213">
        <f>IF(H$10='CHUNG TU'!$I97,'CHUNG TU'!$L97,0)</f>
        <v>0</v>
      </c>
      <c r="I106" s="213">
        <f>IF(I$10='CHUNG TU'!$I97,'CHUNG TU'!$L97,0)</f>
        <v>0</v>
      </c>
      <c r="J106" s="213">
        <f>IF(J$10='CHUNG TU'!$I97,'CHUNG TU'!$L97,0)</f>
        <v>0</v>
      </c>
      <c r="K106" s="213">
        <f>IF(K$10='CHUNG TU'!$I97,'CHUNG TU'!$L97,0)</f>
        <v>0</v>
      </c>
      <c r="L106" s="213">
        <f>IF(L$10='CHUNG TU'!$I97,'CHUNG TU'!$L97,0)</f>
        <v>0</v>
      </c>
      <c r="M106" s="213">
        <f>IF(M$10='CHUNG TU'!$I97,'CHUNG TU'!$L97,0)</f>
        <v>0</v>
      </c>
      <c r="N106" s="213">
        <f>IF(N$10='CHUNG TU'!$I97,'CHUNG TU'!$L97,0)</f>
        <v>0</v>
      </c>
      <c r="O106" s="213">
        <f>IF(F106&lt;&gt;0,'CHUNG TU'!J97,"")</f>
      </c>
      <c r="P106" s="213">
        <f>IF(LEFT('CHUNG TU'!J97,3)='CPSXKD 642_yếu tố'!$H$7,'CHUNG TU'!$L97,0)</f>
        <v>0</v>
      </c>
      <c r="Q106" s="213">
        <f>IF(P106&lt;&gt;0,'CHUNG TU'!I97,"")</f>
      </c>
    </row>
    <row r="107" spans="2:17" ht="12.75">
      <c r="B107" s="213">
        <f>IF($F107+$P107&lt;&gt;0,'CHUNG TU'!A98,"")</f>
      </c>
      <c r="C107" s="213">
        <f>IF($F107+$P107&lt;&gt;0,IF('CHUNG TU'!B98&lt;&gt;"",'CHUNG TU'!B98,IF('CHUNG TU'!C98&lt;&gt;"",'CHUNG TU'!C98,'CHUNG TU'!D98)),"")</f>
      </c>
      <c r="D107" s="213">
        <f>IF($F107+$P107&lt;&gt;0,'CHUNG TU'!F98,"")</f>
      </c>
      <c r="E107" s="213">
        <f>IF($F107+$P107&lt;&gt;0,'CHUNG TU'!H98,"")</f>
      </c>
      <c r="F107" s="213">
        <f>IF(LEFT('CHUNG TU'!I98,3)='CPSXKD 642_yếu tố'!$H$7,'CHUNG TU'!$L98,0)</f>
        <v>0</v>
      </c>
      <c r="G107" s="213">
        <f>IF(G$10='CHUNG TU'!$I98,'CHUNG TU'!$L98,0)</f>
        <v>0</v>
      </c>
      <c r="H107" s="213">
        <f>IF(H$10='CHUNG TU'!$I98,'CHUNG TU'!$L98,0)</f>
        <v>0</v>
      </c>
      <c r="I107" s="213">
        <f>IF(I$10='CHUNG TU'!$I98,'CHUNG TU'!$L98,0)</f>
        <v>0</v>
      </c>
      <c r="J107" s="213">
        <f>IF(J$10='CHUNG TU'!$I98,'CHUNG TU'!$L98,0)</f>
        <v>0</v>
      </c>
      <c r="K107" s="213">
        <f>IF(K$10='CHUNG TU'!$I98,'CHUNG TU'!$L98,0)</f>
        <v>0</v>
      </c>
      <c r="L107" s="213">
        <f>IF(L$10='CHUNG TU'!$I98,'CHUNG TU'!$L98,0)</f>
        <v>0</v>
      </c>
      <c r="M107" s="213">
        <f>IF(M$10='CHUNG TU'!$I98,'CHUNG TU'!$L98,0)</f>
        <v>0</v>
      </c>
      <c r="N107" s="213">
        <f>IF(N$10='CHUNG TU'!$I98,'CHUNG TU'!$L98,0)</f>
        <v>0</v>
      </c>
      <c r="O107" s="213">
        <f>IF(F107&lt;&gt;0,'CHUNG TU'!J98,"")</f>
      </c>
      <c r="P107" s="213">
        <f>IF(LEFT('CHUNG TU'!J98,3)='CPSXKD 642_yếu tố'!$H$7,'CHUNG TU'!$L98,0)</f>
        <v>0</v>
      </c>
      <c r="Q107" s="213">
        <f>IF(P107&lt;&gt;0,'CHUNG TU'!I98,"")</f>
      </c>
    </row>
    <row r="108" spans="2:17" ht="12.75">
      <c r="B108" s="213">
        <f>IF($F108+$P108&lt;&gt;0,'CHUNG TU'!A99,"")</f>
      </c>
      <c r="C108" s="213">
        <f>IF($F108+$P108&lt;&gt;0,IF('CHUNG TU'!B99&lt;&gt;"",'CHUNG TU'!B99,IF('CHUNG TU'!C99&lt;&gt;"",'CHUNG TU'!C99,'CHUNG TU'!D99)),"")</f>
      </c>
      <c r="D108" s="213">
        <f>IF($F108+$P108&lt;&gt;0,'CHUNG TU'!F99,"")</f>
      </c>
      <c r="E108" s="213">
        <f>IF($F108+$P108&lt;&gt;0,'CHUNG TU'!H99,"")</f>
      </c>
      <c r="F108" s="213">
        <f>IF(LEFT('CHUNG TU'!I99,3)='CPSXKD 642_yếu tố'!$H$7,'CHUNG TU'!$L99,0)</f>
        <v>0</v>
      </c>
      <c r="G108" s="213">
        <f>IF(G$10='CHUNG TU'!$I99,'CHUNG TU'!$L99,0)</f>
        <v>0</v>
      </c>
      <c r="H108" s="213">
        <f>IF(H$10='CHUNG TU'!$I99,'CHUNG TU'!$L99,0)</f>
        <v>0</v>
      </c>
      <c r="I108" s="213">
        <f>IF(I$10='CHUNG TU'!$I99,'CHUNG TU'!$L99,0)</f>
        <v>0</v>
      </c>
      <c r="J108" s="213">
        <f>IF(J$10='CHUNG TU'!$I99,'CHUNG TU'!$L99,0)</f>
        <v>0</v>
      </c>
      <c r="K108" s="213">
        <f>IF(K$10='CHUNG TU'!$I99,'CHUNG TU'!$L99,0)</f>
        <v>0</v>
      </c>
      <c r="L108" s="213">
        <f>IF(L$10='CHUNG TU'!$I99,'CHUNG TU'!$L99,0)</f>
        <v>0</v>
      </c>
      <c r="M108" s="213">
        <f>IF(M$10='CHUNG TU'!$I99,'CHUNG TU'!$L99,0)</f>
        <v>0</v>
      </c>
      <c r="N108" s="213">
        <f>IF(N$10='CHUNG TU'!$I99,'CHUNG TU'!$L99,0)</f>
        <v>0</v>
      </c>
      <c r="O108" s="213">
        <f>IF(F108&lt;&gt;0,'CHUNG TU'!J99,"")</f>
      </c>
      <c r="P108" s="213">
        <f>IF(LEFT('CHUNG TU'!J99,3)='CPSXKD 642_yếu tố'!$H$7,'CHUNG TU'!$L99,0)</f>
        <v>0</v>
      </c>
      <c r="Q108" s="213">
        <f>IF(P108&lt;&gt;0,'CHUNG TU'!I99,"")</f>
      </c>
    </row>
    <row r="109" spans="2:17" ht="12.75">
      <c r="B109" s="213">
        <f>IF($F109+$P109&lt;&gt;0,'CHUNG TU'!A100,"")</f>
      </c>
      <c r="C109" s="213">
        <f>IF($F109+$P109&lt;&gt;0,IF('CHUNG TU'!B100&lt;&gt;"",'CHUNG TU'!B100,IF('CHUNG TU'!C100&lt;&gt;"",'CHUNG TU'!C100,'CHUNG TU'!D100)),"")</f>
      </c>
      <c r="D109" s="213">
        <f>IF($F109+$P109&lt;&gt;0,'CHUNG TU'!F100,"")</f>
      </c>
      <c r="E109" s="213">
        <f>IF($F109+$P109&lt;&gt;0,'CHUNG TU'!H100,"")</f>
      </c>
      <c r="F109" s="213">
        <f>IF(LEFT('CHUNG TU'!I100,3)='CPSXKD 642_yếu tố'!$H$7,'CHUNG TU'!$L100,0)</f>
        <v>0</v>
      </c>
      <c r="G109" s="213">
        <f>IF(G$10='CHUNG TU'!$I100,'CHUNG TU'!$L100,0)</f>
        <v>0</v>
      </c>
      <c r="H109" s="213">
        <f>IF(H$10='CHUNG TU'!$I100,'CHUNG TU'!$L100,0)</f>
        <v>0</v>
      </c>
      <c r="I109" s="213">
        <f>IF(I$10='CHUNG TU'!$I100,'CHUNG TU'!$L100,0)</f>
        <v>0</v>
      </c>
      <c r="J109" s="213">
        <f>IF(J$10='CHUNG TU'!$I100,'CHUNG TU'!$L100,0)</f>
        <v>0</v>
      </c>
      <c r="K109" s="213">
        <f>IF(K$10='CHUNG TU'!$I100,'CHUNG TU'!$L100,0)</f>
        <v>0</v>
      </c>
      <c r="L109" s="213">
        <f>IF(L$10='CHUNG TU'!$I100,'CHUNG TU'!$L100,0)</f>
        <v>0</v>
      </c>
      <c r="M109" s="213">
        <f>IF(M$10='CHUNG TU'!$I100,'CHUNG TU'!$L100,0)</f>
        <v>0</v>
      </c>
      <c r="N109" s="213">
        <f>IF(N$10='CHUNG TU'!$I100,'CHUNG TU'!$L100,0)</f>
        <v>0</v>
      </c>
      <c r="O109" s="213">
        <f>IF(F109&lt;&gt;0,'CHUNG TU'!J100,"")</f>
      </c>
      <c r="P109" s="213">
        <f>IF(LEFT('CHUNG TU'!J100,3)='CPSXKD 642_yếu tố'!$H$7,'CHUNG TU'!$L100,0)</f>
        <v>0</v>
      </c>
      <c r="Q109" s="213">
        <f>IF(P109&lt;&gt;0,'CHUNG TU'!I100,"")</f>
      </c>
    </row>
    <row r="110" spans="2:17" ht="12.75">
      <c r="B110" s="213">
        <f>IF($F110+$P110&lt;&gt;0,'CHUNG TU'!A101,"")</f>
      </c>
      <c r="C110" s="213">
        <f>IF($F110+$P110&lt;&gt;0,IF('CHUNG TU'!B101&lt;&gt;"",'CHUNG TU'!B101,IF('CHUNG TU'!C101&lt;&gt;"",'CHUNG TU'!C101,'CHUNG TU'!D101)),"")</f>
      </c>
      <c r="D110" s="213">
        <f>IF($F110+$P110&lt;&gt;0,'CHUNG TU'!F101,"")</f>
      </c>
      <c r="E110" s="213">
        <f>IF($F110+$P110&lt;&gt;0,'CHUNG TU'!H101,"")</f>
      </c>
      <c r="F110" s="213">
        <f>IF(LEFT('CHUNG TU'!I101,3)='CPSXKD 642_yếu tố'!$H$7,'CHUNG TU'!$L101,0)</f>
        <v>0</v>
      </c>
      <c r="G110" s="213">
        <f>IF(G$10='CHUNG TU'!$I101,'CHUNG TU'!$L101,0)</f>
        <v>0</v>
      </c>
      <c r="H110" s="213">
        <f>IF(H$10='CHUNG TU'!$I101,'CHUNG TU'!$L101,0)</f>
        <v>0</v>
      </c>
      <c r="I110" s="213">
        <f>IF(I$10='CHUNG TU'!$I101,'CHUNG TU'!$L101,0)</f>
        <v>0</v>
      </c>
      <c r="J110" s="213">
        <f>IF(J$10='CHUNG TU'!$I101,'CHUNG TU'!$L101,0)</f>
        <v>0</v>
      </c>
      <c r="K110" s="213">
        <f>IF(K$10='CHUNG TU'!$I101,'CHUNG TU'!$L101,0)</f>
        <v>0</v>
      </c>
      <c r="L110" s="213">
        <f>IF(L$10='CHUNG TU'!$I101,'CHUNG TU'!$L101,0)</f>
        <v>0</v>
      </c>
      <c r="M110" s="213">
        <f>IF(M$10='CHUNG TU'!$I101,'CHUNG TU'!$L101,0)</f>
        <v>0</v>
      </c>
      <c r="N110" s="213">
        <f>IF(N$10='CHUNG TU'!$I101,'CHUNG TU'!$L101,0)</f>
        <v>0</v>
      </c>
      <c r="O110" s="213">
        <f>IF(F110&lt;&gt;0,'CHUNG TU'!J101,"")</f>
      </c>
      <c r="P110" s="213">
        <f>IF(LEFT('CHUNG TU'!J101,3)='CPSXKD 642_yếu tố'!$H$7,'CHUNG TU'!$L101,0)</f>
        <v>0</v>
      </c>
      <c r="Q110" s="213">
        <f>IF(P110&lt;&gt;0,'CHUNG TU'!I101,"")</f>
      </c>
    </row>
    <row r="111" spans="2:17" ht="12.75">
      <c r="B111" s="213">
        <f>IF($F111+$P111&lt;&gt;0,'CHUNG TU'!A102,"")</f>
      </c>
      <c r="C111" s="213">
        <f>IF($F111+$P111&lt;&gt;0,IF('CHUNG TU'!B102&lt;&gt;"",'CHUNG TU'!B102,IF('CHUNG TU'!C102&lt;&gt;"",'CHUNG TU'!C102,'CHUNG TU'!D102)),"")</f>
      </c>
      <c r="D111" s="213">
        <f>IF($F111+$P111&lt;&gt;0,'CHUNG TU'!F102,"")</f>
      </c>
      <c r="E111" s="213">
        <f>IF($F111+$P111&lt;&gt;0,'CHUNG TU'!H102,"")</f>
      </c>
      <c r="F111" s="213">
        <f>IF(LEFT('CHUNG TU'!I102,3)='CPSXKD 642_yếu tố'!$H$7,'CHUNG TU'!$L102,0)</f>
        <v>0</v>
      </c>
      <c r="G111" s="213">
        <f>IF(G$10='CHUNG TU'!$I102,'CHUNG TU'!$L102,0)</f>
        <v>0</v>
      </c>
      <c r="H111" s="213">
        <f>IF(H$10='CHUNG TU'!$I102,'CHUNG TU'!$L102,0)</f>
        <v>0</v>
      </c>
      <c r="I111" s="213">
        <f>IF(I$10='CHUNG TU'!$I102,'CHUNG TU'!$L102,0)</f>
        <v>0</v>
      </c>
      <c r="J111" s="213">
        <f>IF(J$10='CHUNG TU'!$I102,'CHUNG TU'!$L102,0)</f>
        <v>0</v>
      </c>
      <c r="K111" s="213">
        <f>IF(K$10='CHUNG TU'!$I102,'CHUNG TU'!$L102,0)</f>
        <v>0</v>
      </c>
      <c r="L111" s="213">
        <f>IF(L$10='CHUNG TU'!$I102,'CHUNG TU'!$L102,0)</f>
        <v>0</v>
      </c>
      <c r="M111" s="213">
        <f>IF(M$10='CHUNG TU'!$I102,'CHUNG TU'!$L102,0)</f>
        <v>0</v>
      </c>
      <c r="N111" s="213">
        <f>IF(N$10='CHUNG TU'!$I102,'CHUNG TU'!$L102,0)</f>
        <v>0</v>
      </c>
      <c r="O111" s="213">
        <f>IF(F111&lt;&gt;0,'CHUNG TU'!J102,"")</f>
      </c>
      <c r="P111" s="213">
        <f>IF(LEFT('CHUNG TU'!J102,3)='CPSXKD 642_yếu tố'!$H$7,'CHUNG TU'!$L102,0)</f>
        <v>0</v>
      </c>
      <c r="Q111" s="213">
        <f>IF(P111&lt;&gt;0,'CHUNG TU'!I102,"")</f>
      </c>
    </row>
    <row r="112" spans="2:17" ht="12.75">
      <c r="B112" s="213">
        <f>IF($F112+$P112&lt;&gt;0,'CHUNG TU'!A103,"")</f>
      </c>
      <c r="C112" s="213">
        <f>IF($F112+$P112&lt;&gt;0,IF('CHUNG TU'!B103&lt;&gt;"",'CHUNG TU'!B103,IF('CHUNG TU'!C103&lt;&gt;"",'CHUNG TU'!C103,'CHUNG TU'!D103)),"")</f>
      </c>
      <c r="D112" s="213">
        <f>IF($F112+$P112&lt;&gt;0,'CHUNG TU'!F103,"")</f>
      </c>
      <c r="E112" s="213">
        <f>IF($F112+$P112&lt;&gt;0,'CHUNG TU'!H103,"")</f>
      </c>
      <c r="F112" s="213">
        <f>IF(LEFT('CHUNG TU'!I103,3)='CPSXKD 642_yếu tố'!$H$7,'CHUNG TU'!$L103,0)</f>
        <v>0</v>
      </c>
      <c r="G112" s="213">
        <f>IF(G$10='CHUNG TU'!$I103,'CHUNG TU'!$L103,0)</f>
        <v>0</v>
      </c>
      <c r="H112" s="213">
        <f>IF(H$10='CHUNG TU'!$I103,'CHUNG TU'!$L103,0)</f>
        <v>0</v>
      </c>
      <c r="I112" s="213">
        <f>IF(I$10='CHUNG TU'!$I103,'CHUNG TU'!$L103,0)</f>
        <v>0</v>
      </c>
      <c r="J112" s="213">
        <f>IF(J$10='CHUNG TU'!$I103,'CHUNG TU'!$L103,0)</f>
        <v>0</v>
      </c>
      <c r="K112" s="213">
        <f>IF(K$10='CHUNG TU'!$I103,'CHUNG TU'!$L103,0)</f>
        <v>0</v>
      </c>
      <c r="L112" s="213">
        <f>IF(L$10='CHUNG TU'!$I103,'CHUNG TU'!$L103,0)</f>
        <v>0</v>
      </c>
      <c r="M112" s="213">
        <f>IF(M$10='CHUNG TU'!$I103,'CHUNG TU'!$L103,0)</f>
        <v>0</v>
      </c>
      <c r="N112" s="213">
        <f>IF(N$10='CHUNG TU'!$I103,'CHUNG TU'!$L103,0)</f>
        <v>0</v>
      </c>
      <c r="O112" s="213">
        <f>IF(F112&lt;&gt;0,'CHUNG TU'!J103,"")</f>
      </c>
      <c r="P112" s="213">
        <f>IF(LEFT('CHUNG TU'!J103,3)='CPSXKD 642_yếu tố'!$H$7,'CHUNG TU'!$L103,0)</f>
        <v>0</v>
      </c>
      <c r="Q112" s="213">
        <f>IF(P112&lt;&gt;0,'CHUNG TU'!I103,"")</f>
      </c>
    </row>
    <row r="113" spans="2:17" ht="12.75">
      <c r="B113" s="213">
        <f>IF($F113+$P113&lt;&gt;0,'CHUNG TU'!A104,"")</f>
      </c>
      <c r="C113" s="213">
        <f>IF($F113+$P113&lt;&gt;0,IF('CHUNG TU'!B104&lt;&gt;"",'CHUNG TU'!B104,IF('CHUNG TU'!C104&lt;&gt;"",'CHUNG TU'!C104,'CHUNG TU'!D104)),"")</f>
      </c>
      <c r="D113" s="213">
        <f>IF($F113+$P113&lt;&gt;0,'CHUNG TU'!F104,"")</f>
      </c>
      <c r="E113" s="213">
        <f>IF($F113+$P113&lt;&gt;0,'CHUNG TU'!H104,"")</f>
      </c>
      <c r="F113" s="213">
        <f>IF(LEFT('CHUNG TU'!I104,3)='CPSXKD 642_yếu tố'!$H$7,'CHUNG TU'!$L104,0)</f>
        <v>0</v>
      </c>
      <c r="G113" s="213">
        <f>IF(G$10='CHUNG TU'!$I104,'CHUNG TU'!$L104,0)</f>
        <v>0</v>
      </c>
      <c r="H113" s="213">
        <f>IF(H$10='CHUNG TU'!$I104,'CHUNG TU'!$L104,0)</f>
        <v>0</v>
      </c>
      <c r="I113" s="213">
        <f>IF(I$10='CHUNG TU'!$I104,'CHUNG TU'!$L104,0)</f>
        <v>0</v>
      </c>
      <c r="J113" s="213">
        <f>IF(J$10='CHUNG TU'!$I104,'CHUNG TU'!$L104,0)</f>
        <v>0</v>
      </c>
      <c r="K113" s="213">
        <f>IF(K$10='CHUNG TU'!$I104,'CHUNG TU'!$L104,0)</f>
        <v>0</v>
      </c>
      <c r="L113" s="213">
        <f>IF(L$10='CHUNG TU'!$I104,'CHUNG TU'!$L104,0)</f>
        <v>0</v>
      </c>
      <c r="M113" s="213">
        <f>IF(M$10='CHUNG TU'!$I104,'CHUNG TU'!$L104,0)</f>
        <v>0</v>
      </c>
      <c r="N113" s="213">
        <f>IF(N$10='CHUNG TU'!$I104,'CHUNG TU'!$L104,0)</f>
        <v>0</v>
      </c>
      <c r="O113" s="213">
        <f>IF(F113&lt;&gt;0,'CHUNG TU'!J104,"")</f>
      </c>
      <c r="P113" s="213">
        <f>IF(LEFT('CHUNG TU'!J104,3)='CPSXKD 642_yếu tố'!$H$7,'CHUNG TU'!$L104,0)</f>
        <v>0</v>
      </c>
      <c r="Q113" s="213">
        <f>IF(P113&lt;&gt;0,'CHUNG TU'!I104,"")</f>
      </c>
    </row>
    <row r="114" spans="2:17" ht="12.75">
      <c r="B114" s="213">
        <f>IF($F114+$P114&lt;&gt;0,'CHUNG TU'!A105,"")</f>
      </c>
      <c r="C114" s="213">
        <f>IF($F114+$P114&lt;&gt;0,IF('CHUNG TU'!B105&lt;&gt;"",'CHUNG TU'!B105,IF('CHUNG TU'!C105&lt;&gt;"",'CHUNG TU'!C105,'CHUNG TU'!D105)),"")</f>
      </c>
      <c r="D114" s="213">
        <f>IF($F114+$P114&lt;&gt;0,'CHUNG TU'!F105,"")</f>
      </c>
      <c r="E114" s="213">
        <f>IF($F114+$P114&lt;&gt;0,'CHUNG TU'!H105,"")</f>
      </c>
      <c r="F114" s="213">
        <f>IF(LEFT('CHUNG TU'!I105,3)='CPSXKD 642_yếu tố'!$H$7,'CHUNG TU'!$L105,0)</f>
        <v>0</v>
      </c>
      <c r="G114" s="213">
        <f>IF(G$10='CHUNG TU'!$I105,'CHUNG TU'!$L105,0)</f>
        <v>0</v>
      </c>
      <c r="H114" s="213">
        <f>IF(H$10='CHUNG TU'!$I105,'CHUNG TU'!$L105,0)</f>
        <v>0</v>
      </c>
      <c r="I114" s="213">
        <f>IF(I$10='CHUNG TU'!$I105,'CHUNG TU'!$L105,0)</f>
        <v>0</v>
      </c>
      <c r="J114" s="213">
        <f>IF(J$10='CHUNG TU'!$I105,'CHUNG TU'!$L105,0)</f>
        <v>0</v>
      </c>
      <c r="K114" s="213">
        <f>IF(K$10='CHUNG TU'!$I105,'CHUNG TU'!$L105,0)</f>
        <v>0</v>
      </c>
      <c r="L114" s="213">
        <f>IF(L$10='CHUNG TU'!$I105,'CHUNG TU'!$L105,0)</f>
        <v>0</v>
      </c>
      <c r="M114" s="213">
        <f>IF(M$10='CHUNG TU'!$I105,'CHUNG TU'!$L105,0)</f>
        <v>0</v>
      </c>
      <c r="N114" s="213">
        <f>IF(N$10='CHUNG TU'!$I105,'CHUNG TU'!$L105,0)</f>
        <v>0</v>
      </c>
      <c r="O114" s="213">
        <f>IF(F114&lt;&gt;0,'CHUNG TU'!J105,"")</f>
      </c>
      <c r="P114" s="213">
        <f>IF(LEFT('CHUNG TU'!J105,3)='CPSXKD 642_yếu tố'!$H$7,'CHUNG TU'!$L105,0)</f>
        <v>0</v>
      </c>
      <c r="Q114" s="213">
        <f>IF(P114&lt;&gt;0,'CHUNG TU'!I105,"")</f>
      </c>
    </row>
    <row r="115" spans="2:17" ht="12.75">
      <c r="B115" s="213">
        <f>IF($F115+$P115&lt;&gt;0,'CHUNG TU'!A106,"")</f>
      </c>
      <c r="C115" s="213">
        <f>IF($F115+$P115&lt;&gt;0,IF('CHUNG TU'!B106&lt;&gt;"",'CHUNG TU'!B106,IF('CHUNG TU'!C106&lt;&gt;"",'CHUNG TU'!C106,'CHUNG TU'!D106)),"")</f>
      </c>
      <c r="D115" s="213">
        <f>IF($F115+$P115&lt;&gt;0,'CHUNG TU'!F106,"")</f>
      </c>
      <c r="E115" s="213">
        <f>IF($F115+$P115&lt;&gt;0,'CHUNG TU'!H106,"")</f>
      </c>
      <c r="F115" s="213">
        <f>IF(LEFT('CHUNG TU'!I106,3)='CPSXKD 642_yếu tố'!$H$7,'CHUNG TU'!$L106,0)</f>
        <v>0</v>
      </c>
      <c r="G115" s="213">
        <f>IF(G$10='CHUNG TU'!$I106,'CHUNG TU'!$L106,0)</f>
        <v>0</v>
      </c>
      <c r="H115" s="213">
        <f>IF(H$10='CHUNG TU'!$I106,'CHUNG TU'!$L106,0)</f>
        <v>0</v>
      </c>
      <c r="I115" s="213">
        <f>IF(I$10='CHUNG TU'!$I106,'CHUNG TU'!$L106,0)</f>
        <v>0</v>
      </c>
      <c r="J115" s="213">
        <f>IF(J$10='CHUNG TU'!$I106,'CHUNG TU'!$L106,0)</f>
        <v>0</v>
      </c>
      <c r="K115" s="213">
        <f>IF(K$10='CHUNG TU'!$I106,'CHUNG TU'!$L106,0)</f>
        <v>0</v>
      </c>
      <c r="L115" s="213">
        <f>IF(L$10='CHUNG TU'!$I106,'CHUNG TU'!$L106,0)</f>
        <v>0</v>
      </c>
      <c r="M115" s="213">
        <f>IF(M$10='CHUNG TU'!$I106,'CHUNG TU'!$L106,0)</f>
        <v>0</v>
      </c>
      <c r="N115" s="213">
        <f>IF(N$10='CHUNG TU'!$I106,'CHUNG TU'!$L106,0)</f>
        <v>0</v>
      </c>
      <c r="O115" s="213">
        <f>IF(F115&lt;&gt;0,'CHUNG TU'!J106,"")</f>
      </c>
      <c r="P115" s="213">
        <f>IF(LEFT('CHUNG TU'!J106,3)='CPSXKD 642_yếu tố'!$H$7,'CHUNG TU'!$L106,0)</f>
        <v>0</v>
      </c>
      <c r="Q115" s="213">
        <f>IF(P115&lt;&gt;0,'CHUNG TU'!I106,"")</f>
      </c>
    </row>
    <row r="116" spans="2:17" ht="12.75">
      <c r="B116" s="213">
        <f>IF($F116+$P116&lt;&gt;0,'CHUNG TU'!A107,"")</f>
      </c>
      <c r="C116" s="213">
        <f>IF($F116+$P116&lt;&gt;0,IF('CHUNG TU'!B107&lt;&gt;"",'CHUNG TU'!B107,IF('CHUNG TU'!C107&lt;&gt;"",'CHUNG TU'!C107,'CHUNG TU'!D107)),"")</f>
      </c>
      <c r="D116" s="213">
        <f>IF($F116+$P116&lt;&gt;0,'CHUNG TU'!F107,"")</f>
      </c>
      <c r="E116" s="213">
        <f>IF($F116+$P116&lt;&gt;0,'CHUNG TU'!H107,"")</f>
      </c>
      <c r="F116" s="213">
        <f>IF(LEFT('CHUNG TU'!I107,3)='CPSXKD 642_yếu tố'!$H$7,'CHUNG TU'!$L107,0)</f>
        <v>0</v>
      </c>
      <c r="G116" s="213">
        <f>IF(G$10='CHUNG TU'!$I107,'CHUNG TU'!$L107,0)</f>
        <v>0</v>
      </c>
      <c r="H116" s="213">
        <f>IF(H$10='CHUNG TU'!$I107,'CHUNG TU'!$L107,0)</f>
        <v>0</v>
      </c>
      <c r="I116" s="213">
        <f>IF(I$10='CHUNG TU'!$I107,'CHUNG TU'!$L107,0)</f>
        <v>0</v>
      </c>
      <c r="J116" s="213">
        <f>IF(J$10='CHUNG TU'!$I107,'CHUNG TU'!$L107,0)</f>
        <v>0</v>
      </c>
      <c r="K116" s="213">
        <f>IF(K$10='CHUNG TU'!$I107,'CHUNG TU'!$L107,0)</f>
        <v>0</v>
      </c>
      <c r="L116" s="213">
        <f>IF(L$10='CHUNG TU'!$I107,'CHUNG TU'!$L107,0)</f>
        <v>0</v>
      </c>
      <c r="M116" s="213">
        <f>IF(M$10='CHUNG TU'!$I107,'CHUNG TU'!$L107,0)</f>
        <v>0</v>
      </c>
      <c r="N116" s="213">
        <f>IF(N$10='CHUNG TU'!$I107,'CHUNG TU'!$L107,0)</f>
        <v>0</v>
      </c>
      <c r="O116" s="213">
        <f>IF(F116&lt;&gt;0,'CHUNG TU'!J107,"")</f>
      </c>
      <c r="P116" s="213">
        <f>IF(LEFT('CHUNG TU'!J107,3)='CPSXKD 642_yếu tố'!$H$7,'CHUNG TU'!$L107,0)</f>
        <v>0</v>
      </c>
      <c r="Q116" s="213">
        <f>IF(P116&lt;&gt;0,'CHUNG TU'!I107,"")</f>
      </c>
    </row>
    <row r="117" spans="2:17" ht="12.75">
      <c r="B117" s="213">
        <f>IF($F117+$P117&lt;&gt;0,'CHUNG TU'!A108,"")</f>
      </c>
      <c r="C117" s="213">
        <f>IF($F117+$P117&lt;&gt;0,IF('CHUNG TU'!B108&lt;&gt;"",'CHUNG TU'!B108,IF('CHUNG TU'!C108&lt;&gt;"",'CHUNG TU'!C108,'CHUNG TU'!D108)),"")</f>
      </c>
      <c r="D117" s="213">
        <f>IF($F117+$P117&lt;&gt;0,'CHUNG TU'!F108,"")</f>
      </c>
      <c r="E117" s="213">
        <f>IF($F117+$P117&lt;&gt;0,'CHUNG TU'!H108,"")</f>
      </c>
      <c r="F117" s="213">
        <f>IF(LEFT('CHUNG TU'!I108,3)='CPSXKD 642_yếu tố'!$H$7,'CHUNG TU'!$L108,0)</f>
        <v>0</v>
      </c>
      <c r="G117" s="213">
        <f>IF(G$10='CHUNG TU'!$I108,'CHUNG TU'!$L108,0)</f>
        <v>0</v>
      </c>
      <c r="H117" s="213">
        <f>IF(H$10='CHUNG TU'!$I108,'CHUNG TU'!$L108,0)</f>
        <v>0</v>
      </c>
      <c r="I117" s="213">
        <f>IF(I$10='CHUNG TU'!$I108,'CHUNG TU'!$L108,0)</f>
        <v>0</v>
      </c>
      <c r="J117" s="213">
        <f>IF(J$10='CHUNG TU'!$I108,'CHUNG TU'!$L108,0)</f>
        <v>0</v>
      </c>
      <c r="K117" s="213">
        <f>IF(K$10='CHUNG TU'!$I108,'CHUNG TU'!$L108,0)</f>
        <v>0</v>
      </c>
      <c r="L117" s="213">
        <f>IF(L$10='CHUNG TU'!$I108,'CHUNG TU'!$L108,0)</f>
        <v>0</v>
      </c>
      <c r="M117" s="213">
        <f>IF(M$10='CHUNG TU'!$I108,'CHUNG TU'!$L108,0)</f>
        <v>0</v>
      </c>
      <c r="N117" s="213">
        <f>IF(N$10='CHUNG TU'!$I108,'CHUNG TU'!$L108,0)</f>
        <v>0</v>
      </c>
      <c r="O117" s="213">
        <f>IF(F117&lt;&gt;0,'CHUNG TU'!J108,"")</f>
      </c>
      <c r="P117" s="213">
        <f>IF(LEFT('CHUNG TU'!J108,3)='CPSXKD 642_yếu tố'!$H$7,'CHUNG TU'!$L108,0)</f>
        <v>0</v>
      </c>
      <c r="Q117" s="213">
        <f>IF(P117&lt;&gt;0,'CHUNG TU'!I108,"")</f>
      </c>
    </row>
    <row r="118" spans="2:17" ht="12.75">
      <c r="B118" s="213">
        <f>IF($F118+$P118&lt;&gt;0,'CHUNG TU'!A109,"")</f>
      </c>
      <c r="C118" s="213">
        <f>IF($F118+$P118&lt;&gt;0,IF('CHUNG TU'!B109&lt;&gt;"",'CHUNG TU'!B109,IF('CHUNG TU'!C109&lt;&gt;"",'CHUNG TU'!C109,'CHUNG TU'!D109)),"")</f>
      </c>
      <c r="D118" s="213">
        <f>IF($F118+$P118&lt;&gt;0,'CHUNG TU'!F109,"")</f>
      </c>
      <c r="E118" s="213">
        <f>IF($F118+$P118&lt;&gt;0,'CHUNG TU'!H109,"")</f>
      </c>
      <c r="F118" s="213">
        <f>IF(LEFT('CHUNG TU'!I109,3)='CPSXKD 642_yếu tố'!$H$7,'CHUNG TU'!$L109,0)</f>
        <v>0</v>
      </c>
      <c r="G118" s="213">
        <f>IF(G$10='CHUNG TU'!$I109,'CHUNG TU'!$L109,0)</f>
        <v>0</v>
      </c>
      <c r="H118" s="213">
        <f>IF(H$10='CHUNG TU'!$I109,'CHUNG TU'!$L109,0)</f>
        <v>0</v>
      </c>
      <c r="I118" s="213">
        <f>IF(I$10='CHUNG TU'!$I109,'CHUNG TU'!$L109,0)</f>
        <v>0</v>
      </c>
      <c r="J118" s="213">
        <f>IF(J$10='CHUNG TU'!$I109,'CHUNG TU'!$L109,0)</f>
        <v>0</v>
      </c>
      <c r="K118" s="213">
        <f>IF(K$10='CHUNG TU'!$I109,'CHUNG TU'!$L109,0)</f>
        <v>0</v>
      </c>
      <c r="L118" s="213">
        <f>IF(L$10='CHUNG TU'!$I109,'CHUNG TU'!$L109,0)</f>
        <v>0</v>
      </c>
      <c r="M118" s="213">
        <f>IF(M$10='CHUNG TU'!$I109,'CHUNG TU'!$L109,0)</f>
        <v>0</v>
      </c>
      <c r="N118" s="213">
        <f>IF(N$10='CHUNG TU'!$I109,'CHUNG TU'!$L109,0)</f>
        <v>0</v>
      </c>
      <c r="O118" s="213">
        <f>IF(F118&lt;&gt;0,'CHUNG TU'!J109,"")</f>
      </c>
      <c r="P118" s="213">
        <f>IF(LEFT('CHUNG TU'!J109,3)='CPSXKD 642_yếu tố'!$H$7,'CHUNG TU'!$L109,0)</f>
        <v>0</v>
      </c>
      <c r="Q118" s="213">
        <f>IF(P118&lt;&gt;0,'CHUNG TU'!I109,"")</f>
      </c>
    </row>
    <row r="119" spans="2:17" ht="12.75">
      <c r="B119" s="213">
        <f>IF($F119+$P119&lt;&gt;0,'CHUNG TU'!A110,"")</f>
      </c>
      <c r="C119" s="213">
        <f>IF($F119+$P119&lt;&gt;0,IF('CHUNG TU'!B110&lt;&gt;"",'CHUNG TU'!B110,IF('CHUNG TU'!C110&lt;&gt;"",'CHUNG TU'!C110,'CHUNG TU'!D110)),"")</f>
      </c>
      <c r="D119" s="213">
        <f>IF($F119+$P119&lt;&gt;0,'CHUNG TU'!F110,"")</f>
      </c>
      <c r="E119" s="213">
        <f>IF($F119+$P119&lt;&gt;0,'CHUNG TU'!H110,"")</f>
      </c>
      <c r="F119" s="213">
        <f>IF(LEFT('CHUNG TU'!I110,3)='CPSXKD 642_yếu tố'!$H$7,'CHUNG TU'!$L110,0)</f>
        <v>0</v>
      </c>
      <c r="G119" s="213">
        <f>IF(G$10='CHUNG TU'!$I110,'CHUNG TU'!$L110,0)</f>
        <v>0</v>
      </c>
      <c r="H119" s="213">
        <f>IF(H$10='CHUNG TU'!$I110,'CHUNG TU'!$L110,0)</f>
        <v>0</v>
      </c>
      <c r="I119" s="213">
        <f>IF(I$10='CHUNG TU'!$I110,'CHUNG TU'!$L110,0)</f>
        <v>0</v>
      </c>
      <c r="J119" s="213">
        <f>IF(J$10='CHUNG TU'!$I110,'CHUNG TU'!$L110,0)</f>
        <v>0</v>
      </c>
      <c r="K119" s="213">
        <f>IF(K$10='CHUNG TU'!$I110,'CHUNG TU'!$L110,0)</f>
        <v>0</v>
      </c>
      <c r="L119" s="213">
        <f>IF(L$10='CHUNG TU'!$I110,'CHUNG TU'!$L110,0)</f>
        <v>0</v>
      </c>
      <c r="M119" s="213">
        <f>IF(M$10='CHUNG TU'!$I110,'CHUNG TU'!$L110,0)</f>
        <v>0</v>
      </c>
      <c r="N119" s="213">
        <f>IF(N$10='CHUNG TU'!$I110,'CHUNG TU'!$L110,0)</f>
        <v>0</v>
      </c>
      <c r="O119" s="213">
        <f>IF(F119&lt;&gt;0,'CHUNG TU'!J110,"")</f>
      </c>
      <c r="P119" s="213">
        <f>IF(LEFT('CHUNG TU'!J110,3)='CPSXKD 642_yếu tố'!$H$7,'CHUNG TU'!$L110,0)</f>
        <v>0</v>
      </c>
      <c r="Q119" s="213">
        <f>IF(P119&lt;&gt;0,'CHUNG TU'!I110,"")</f>
      </c>
    </row>
    <row r="120" spans="2:17" ht="12.75">
      <c r="B120" s="213">
        <f>IF($F120+$P120&lt;&gt;0,'CHUNG TU'!A111,"")</f>
      </c>
      <c r="C120" s="213">
        <f>IF($F120+$P120&lt;&gt;0,IF('CHUNG TU'!B111&lt;&gt;"",'CHUNG TU'!B111,IF('CHUNG TU'!C111&lt;&gt;"",'CHUNG TU'!C111,'CHUNG TU'!D111)),"")</f>
      </c>
      <c r="D120" s="213">
        <f>IF($F120+$P120&lt;&gt;0,'CHUNG TU'!F111,"")</f>
      </c>
      <c r="E120" s="213">
        <f>IF($F120+$P120&lt;&gt;0,'CHUNG TU'!H111,"")</f>
      </c>
      <c r="F120" s="213">
        <f>IF(LEFT('CHUNG TU'!I111,3)='CPSXKD 642_yếu tố'!$H$7,'CHUNG TU'!$L111,0)</f>
        <v>0</v>
      </c>
      <c r="G120" s="213">
        <f>IF(G$10='CHUNG TU'!$I111,'CHUNG TU'!$L111,0)</f>
        <v>0</v>
      </c>
      <c r="H120" s="213">
        <f>IF(H$10='CHUNG TU'!$I111,'CHUNG TU'!$L111,0)</f>
        <v>0</v>
      </c>
      <c r="I120" s="213">
        <f>IF(I$10='CHUNG TU'!$I111,'CHUNG TU'!$L111,0)</f>
        <v>0</v>
      </c>
      <c r="J120" s="213">
        <f>IF(J$10='CHUNG TU'!$I111,'CHUNG TU'!$L111,0)</f>
        <v>0</v>
      </c>
      <c r="K120" s="213">
        <f>IF(K$10='CHUNG TU'!$I111,'CHUNG TU'!$L111,0)</f>
        <v>0</v>
      </c>
      <c r="L120" s="213">
        <f>IF(L$10='CHUNG TU'!$I111,'CHUNG TU'!$L111,0)</f>
        <v>0</v>
      </c>
      <c r="M120" s="213">
        <f>IF(M$10='CHUNG TU'!$I111,'CHUNG TU'!$L111,0)</f>
        <v>0</v>
      </c>
      <c r="N120" s="213">
        <f>IF(N$10='CHUNG TU'!$I111,'CHUNG TU'!$L111,0)</f>
        <v>0</v>
      </c>
      <c r="O120" s="213">
        <f>IF(F120&lt;&gt;0,'CHUNG TU'!J111,"")</f>
      </c>
      <c r="P120" s="213">
        <f>IF(LEFT('CHUNG TU'!J111,3)='CPSXKD 642_yếu tố'!$H$7,'CHUNG TU'!$L111,0)</f>
        <v>0</v>
      </c>
      <c r="Q120" s="213">
        <f>IF(P120&lt;&gt;0,'CHUNG TU'!I111,"")</f>
      </c>
    </row>
    <row r="121" spans="2:17" ht="12.75">
      <c r="B121" s="213">
        <f>IF($F121+$P121&lt;&gt;0,'CHUNG TU'!A112,"")</f>
      </c>
      <c r="C121" s="213">
        <f>IF($F121+$P121&lt;&gt;0,IF('CHUNG TU'!B112&lt;&gt;"",'CHUNG TU'!B112,IF('CHUNG TU'!C112&lt;&gt;"",'CHUNG TU'!C112,'CHUNG TU'!D112)),"")</f>
      </c>
      <c r="D121" s="213">
        <f>IF($F121+$P121&lt;&gt;0,'CHUNG TU'!F112,"")</f>
      </c>
      <c r="E121" s="213">
        <f>IF($F121+$P121&lt;&gt;0,'CHUNG TU'!H112,"")</f>
      </c>
      <c r="F121" s="213">
        <f>IF(LEFT('CHUNG TU'!I112,3)='CPSXKD 642_yếu tố'!$H$7,'CHUNG TU'!$L112,0)</f>
        <v>0</v>
      </c>
      <c r="G121" s="213">
        <f>IF(G$10='CHUNG TU'!$I112,'CHUNG TU'!$L112,0)</f>
        <v>0</v>
      </c>
      <c r="H121" s="213">
        <f>IF(H$10='CHUNG TU'!$I112,'CHUNG TU'!$L112,0)</f>
        <v>0</v>
      </c>
      <c r="I121" s="213">
        <f>IF(I$10='CHUNG TU'!$I112,'CHUNG TU'!$L112,0)</f>
        <v>0</v>
      </c>
      <c r="J121" s="213">
        <f>IF(J$10='CHUNG TU'!$I112,'CHUNG TU'!$L112,0)</f>
        <v>0</v>
      </c>
      <c r="K121" s="213">
        <f>IF(K$10='CHUNG TU'!$I112,'CHUNG TU'!$L112,0)</f>
        <v>0</v>
      </c>
      <c r="L121" s="213">
        <f>IF(L$10='CHUNG TU'!$I112,'CHUNG TU'!$L112,0)</f>
        <v>0</v>
      </c>
      <c r="M121" s="213">
        <f>IF(M$10='CHUNG TU'!$I112,'CHUNG TU'!$L112,0)</f>
        <v>0</v>
      </c>
      <c r="N121" s="213">
        <f>IF(N$10='CHUNG TU'!$I112,'CHUNG TU'!$L112,0)</f>
        <v>0</v>
      </c>
      <c r="O121" s="213">
        <f>IF(F121&lt;&gt;0,'CHUNG TU'!J112,"")</f>
      </c>
      <c r="P121" s="213">
        <f>IF(LEFT('CHUNG TU'!J112,3)='CPSXKD 642_yếu tố'!$H$7,'CHUNG TU'!$L112,0)</f>
        <v>0</v>
      </c>
      <c r="Q121" s="213">
        <f>IF(P121&lt;&gt;0,'CHUNG TU'!I112,"")</f>
      </c>
    </row>
    <row r="122" spans="2:17" ht="12.75">
      <c r="B122" s="213">
        <f>IF($F122+$P122&lt;&gt;0,'CHUNG TU'!A113,"")</f>
      </c>
      <c r="C122" s="213">
        <f>IF($F122+$P122&lt;&gt;0,IF('CHUNG TU'!B113&lt;&gt;"",'CHUNG TU'!B113,IF('CHUNG TU'!C113&lt;&gt;"",'CHUNG TU'!C113,'CHUNG TU'!D113)),"")</f>
      </c>
      <c r="D122" s="213">
        <f>IF($F122+$P122&lt;&gt;0,'CHUNG TU'!F113,"")</f>
      </c>
      <c r="E122" s="213">
        <f>IF($F122+$P122&lt;&gt;0,'CHUNG TU'!H113,"")</f>
      </c>
      <c r="F122" s="213">
        <f>IF(LEFT('CHUNG TU'!I113,3)='CPSXKD 642_yếu tố'!$H$7,'CHUNG TU'!$L113,0)</f>
        <v>0</v>
      </c>
      <c r="G122" s="213">
        <f>IF(G$10='CHUNG TU'!$I113,'CHUNG TU'!$L113,0)</f>
        <v>0</v>
      </c>
      <c r="H122" s="213">
        <f>IF(H$10='CHUNG TU'!$I113,'CHUNG TU'!$L113,0)</f>
        <v>0</v>
      </c>
      <c r="I122" s="213">
        <f>IF(I$10='CHUNG TU'!$I113,'CHUNG TU'!$L113,0)</f>
        <v>0</v>
      </c>
      <c r="J122" s="213">
        <f>IF(J$10='CHUNG TU'!$I113,'CHUNG TU'!$L113,0)</f>
        <v>0</v>
      </c>
      <c r="K122" s="213">
        <f>IF(K$10='CHUNG TU'!$I113,'CHUNG TU'!$L113,0)</f>
        <v>0</v>
      </c>
      <c r="L122" s="213">
        <f>IF(L$10='CHUNG TU'!$I113,'CHUNG TU'!$L113,0)</f>
        <v>0</v>
      </c>
      <c r="M122" s="213">
        <f>IF(M$10='CHUNG TU'!$I113,'CHUNG TU'!$L113,0)</f>
        <v>0</v>
      </c>
      <c r="N122" s="213">
        <f>IF(N$10='CHUNG TU'!$I113,'CHUNG TU'!$L113,0)</f>
        <v>0</v>
      </c>
      <c r="O122" s="213">
        <f>IF(F122&lt;&gt;0,'CHUNG TU'!J113,"")</f>
      </c>
      <c r="P122" s="213">
        <f>IF(LEFT('CHUNG TU'!J113,3)='CPSXKD 642_yếu tố'!$H$7,'CHUNG TU'!$L113,0)</f>
        <v>0</v>
      </c>
      <c r="Q122" s="213">
        <f>IF(P122&lt;&gt;0,'CHUNG TU'!I113,"")</f>
      </c>
    </row>
    <row r="123" spans="2:17" ht="12.75">
      <c r="B123" s="213">
        <f>IF($F123+$P123&lt;&gt;0,'CHUNG TU'!A114,"")</f>
      </c>
      <c r="C123" s="213">
        <f>IF($F123+$P123&lt;&gt;0,IF('CHUNG TU'!B114&lt;&gt;"",'CHUNG TU'!B114,IF('CHUNG TU'!C114&lt;&gt;"",'CHUNG TU'!C114,'CHUNG TU'!D114)),"")</f>
      </c>
      <c r="D123" s="213">
        <f>IF($F123+$P123&lt;&gt;0,'CHUNG TU'!F114,"")</f>
      </c>
      <c r="E123" s="213">
        <f>IF($F123+$P123&lt;&gt;0,'CHUNG TU'!H114,"")</f>
      </c>
      <c r="F123" s="213">
        <f>IF(LEFT('CHUNG TU'!I114,3)='CPSXKD 642_yếu tố'!$H$7,'CHUNG TU'!$L114,0)</f>
        <v>0</v>
      </c>
      <c r="G123" s="213">
        <f>IF(G$10='CHUNG TU'!$I114,'CHUNG TU'!$L114,0)</f>
        <v>0</v>
      </c>
      <c r="H123" s="213">
        <f>IF(H$10='CHUNG TU'!$I114,'CHUNG TU'!$L114,0)</f>
        <v>0</v>
      </c>
      <c r="I123" s="213">
        <f>IF(I$10='CHUNG TU'!$I114,'CHUNG TU'!$L114,0)</f>
        <v>0</v>
      </c>
      <c r="J123" s="213">
        <f>IF(J$10='CHUNG TU'!$I114,'CHUNG TU'!$L114,0)</f>
        <v>0</v>
      </c>
      <c r="K123" s="213">
        <f>IF(K$10='CHUNG TU'!$I114,'CHUNG TU'!$L114,0)</f>
        <v>0</v>
      </c>
      <c r="L123" s="213">
        <f>IF(L$10='CHUNG TU'!$I114,'CHUNG TU'!$L114,0)</f>
        <v>0</v>
      </c>
      <c r="M123" s="213">
        <f>IF(M$10='CHUNG TU'!$I114,'CHUNG TU'!$L114,0)</f>
        <v>0</v>
      </c>
      <c r="N123" s="213">
        <f>IF(N$10='CHUNG TU'!$I114,'CHUNG TU'!$L114,0)</f>
        <v>0</v>
      </c>
      <c r="O123" s="213">
        <f>IF(F123&lt;&gt;0,'CHUNG TU'!J114,"")</f>
      </c>
      <c r="P123" s="213">
        <f>IF(LEFT('CHUNG TU'!J114,3)='CPSXKD 642_yếu tố'!$H$7,'CHUNG TU'!$L114,0)</f>
        <v>0</v>
      </c>
      <c r="Q123" s="213">
        <f>IF(P123&lt;&gt;0,'CHUNG TU'!I114,"")</f>
      </c>
    </row>
    <row r="124" spans="2:17" ht="12.75">
      <c r="B124" s="213">
        <f>IF($F124+$P124&lt;&gt;0,'CHUNG TU'!A115,"")</f>
      </c>
      <c r="C124" s="213">
        <f>IF($F124+$P124&lt;&gt;0,IF('CHUNG TU'!B115&lt;&gt;"",'CHUNG TU'!B115,IF('CHUNG TU'!C115&lt;&gt;"",'CHUNG TU'!C115,'CHUNG TU'!D115)),"")</f>
      </c>
      <c r="D124" s="213">
        <f>IF($F124+$P124&lt;&gt;0,'CHUNG TU'!F115,"")</f>
      </c>
      <c r="E124" s="213">
        <f>IF($F124+$P124&lt;&gt;0,'CHUNG TU'!H115,"")</f>
      </c>
      <c r="F124" s="213">
        <f>IF(LEFT('CHUNG TU'!I115,3)='CPSXKD 642_yếu tố'!$H$7,'CHUNG TU'!$L115,0)</f>
        <v>0</v>
      </c>
      <c r="G124" s="213">
        <f>IF(G$10='CHUNG TU'!$I115,'CHUNG TU'!$L115,0)</f>
        <v>0</v>
      </c>
      <c r="H124" s="213">
        <f>IF(H$10='CHUNG TU'!$I115,'CHUNG TU'!$L115,0)</f>
        <v>0</v>
      </c>
      <c r="I124" s="213">
        <f>IF(I$10='CHUNG TU'!$I115,'CHUNG TU'!$L115,0)</f>
        <v>0</v>
      </c>
      <c r="J124" s="213">
        <f>IF(J$10='CHUNG TU'!$I115,'CHUNG TU'!$L115,0)</f>
        <v>0</v>
      </c>
      <c r="K124" s="213">
        <f>IF(K$10='CHUNG TU'!$I115,'CHUNG TU'!$L115,0)</f>
        <v>0</v>
      </c>
      <c r="L124" s="213">
        <f>IF(L$10='CHUNG TU'!$I115,'CHUNG TU'!$L115,0)</f>
        <v>0</v>
      </c>
      <c r="M124" s="213">
        <f>IF(M$10='CHUNG TU'!$I115,'CHUNG TU'!$L115,0)</f>
        <v>0</v>
      </c>
      <c r="N124" s="213">
        <f>IF(N$10='CHUNG TU'!$I115,'CHUNG TU'!$L115,0)</f>
        <v>0</v>
      </c>
      <c r="O124" s="213">
        <f>IF(F124&lt;&gt;0,'CHUNG TU'!J115,"")</f>
      </c>
      <c r="P124" s="213">
        <f>IF(LEFT('CHUNG TU'!J115,3)='CPSXKD 642_yếu tố'!$H$7,'CHUNG TU'!$L115,0)</f>
        <v>0</v>
      </c>
      <c r="Q124" s="213">
        <f>IF(P124&lt;&gt;0,'CHUNG TU'!I115,"")</f>
      </c>
    </row>
    <row r="125" spans="2:17" ht="12.75">
      <c r="B125" s="213">
        <f>IF($F125+$P125&lt;&gt;0,'CHUNG TU'!A116,"")</f>
      </c>
      <c r="C125" s="213">
        <f>IF($F125+$P125&lt;&gt;0,IF('CHUNG TU'!B116&lt;&gt;"",'CHUNG TU'!B116,IF('CHUNG TU'!C116&lt;&gt;"",'CHUNG TU'!C116,'CHUNG TU'!D116)),"")</f>
      </c>
      <c r="D125" s="213">
        <f>IF($F125+$P125&lt;&gt;0,'CHUNG TU'!F116,"")</f>
      </c>
      <c r="E125" s="213">
        <f>IF($F125+$P125&lt;&gt;0,'CHUNG TU'!H116,"")</f>
      </c>
      <c r="F125" s="213">
        <f>IF(LEFT('CHUNG TU'!I116,3)='CPSXKD 642_yếu tố'!$H$7,'CHUNG TU'!$L116,0)</f>
        <v>0</v>
      </c>
      <c r="G125" s="213">
        <f>IF(G$10='CHUNG TU'!$I116,'CHUNG TU'!$L116,0)</f>
        <v>0</v>
      </c>
      <c r="H125" s="213">
        <f>IF(H$10='CHUNG TU'!$I116,'CHUNG TU'!$L116,0)</f>
        <v>0</v>
      </c>
      <c r="I125" s="213">
        <f>IF(I$10='CHUNG TU'!$I116,'CHUNG TU'!$L116,0)</f>
        <v>0</v>
      </c>
      <c r="J125" s="213">
        <f>IF(J$10='CHUNG TU'!$I116,'CHUNG TU'!$L116,0)</f>
        <v>0</v>
      </c>
      <c r="K125" s="213">
        <f>IF(K$10='CHUNG TU'!$I116,'CHUNG TU'!$L116,0)</f>
        <v>0</v>
      </c>
      <c r="L125" s="213">
        <f>IF(L$10='CHUNG TU'!$I116,'CHUNG TU'!$L116,0)</f>
        <v>0</v>
      </c>
      <c r="M125" s="213">
        <f>IF(M$10='CHUNG TU'!$I116,'CHUNG TU'!$L116,0)</f>
        <v>0</v>
      </c>
      <c r="N125" s="213">
        <f>IF(N$10='CHUNG TU'!$I116,'CHUNG TU'!$L116,0)</f>
        <v>0</v>
      </c>
      <c r="O125" s="213">
        <f>IF(F125&lt;&gt;0,'CHUNG TU'!J116,"")</f>
      </c>
      <c r="P125" s="213">
        <f>IF(LEFT('CHUNG TU'!J116,3)='CPSXKD 642_yếu tố'!$H$7,'CHUNG TU'!$L116,0)</f>
        <v>0</v>
      </c>
      <c r="Q125" s="213">
        <f>IF(P125&lt;&gt;0,'CHUNG TU'!I116,"")</f>
      </c>
    </row>
    <row r="126" spans="2:17" ht="12.75">
      <c r="B126" s="213">
        <f>IF($F126+$P126&lt;&gt;0,'CHUNG TU'!A117,"")</f>
      </c>
      <c r="C126" s="213">
        <f>IF($F126+$P126&lt;&gt;0,IF('CHUNG TU'!B117&lt;&gt;"",'CHUNG TU'!B117,IF('CHUNG TU'!C117&lt;&gt;"",'CHUNG TU'!C117,'CHUNG TU'!D117)),"")</f>
      </c>
      <c r="D126" s="213">
        <f>IF($F126+$P126&lt;&gt;0,'CHUNG TU'!F117,"")</f>
      </c>
      <c r="E126" s="213">
        <f>IF($F126+$P126&lt;&gt;0,'CHUNG TU'!H117,"")</f>
      </c>
      <c r="F126" s="213">
        <f>IF(LEFT('CHUNG TU'!I117,3)='CPSXKD 642_yếu tố'!$H$7,'CHUNG TU'!$L117,0)</f>
        <v>0</v>
      </c>
      <c r="G126" s="213">
        <f>IF(G$10='CHUNG TU'!$I117,'CHUNG TU'!$L117,0)</f>
        <v>0</v>
      </c>
      <c r="H126" s="213">
        <f>IF(H$10='CHUNG TU'!$I117,'CHUNG TU'!$L117,0)</f>
        <v>0</v>
      </c>
      <c r="I126" s="213">
        <f>IF(I$10='CHUNG TU'!$I117,'CHUNG TU'!$L117,0)</f>
        <v>0</v>
      </c>
      <c r="J126" s="213">
        <f>IF(J$10='CHUNG TU'!$I117,'CHUNG TU'!$L117,0)</f>
        <v>0</v>
      </c>
      <c r="K126" s="213">
        <f>IF(K$10='CHUNG TU'!$I117,'CHUNG TU'!$L117,0)</f>
        <v>0</v>
      </c>
      <c r="L126" s="213">
        <f>IF(L$10='CHUNG TU'!$I117,'CHUNG TU'!$L117,0)</f>
        <v>0</v>
      </c>
      <c r="M126" s="213">
        <f>IF(M$10='CHUNG TU'!$I117,'CHUNG TU'!$L117,0)</f>
        <v>0</v>
      </c>
      <c r="N126" s="213">
        <f>IF(N$10='CHUNG TU'!$I117,'CHUNG TU'!$L117,0)</f>
        <v>0</v>
      </c>
      <c r="O126" s="213">
        <f>IF(F126&lt;&gt;0,'CHUNG TU'!J117,"")</f>
      </c>
      <c r="P126" s="213">
        <f>IF(LEFT('CHUNG TU'!J117,3)='CPSXKD 642_yếu tố'!$H$7,'CHUNG TU'!$L117,0)</f>
        <v>0</v>
      </c>
      <c r="Q126" s="213">
        <f>IF(P126&lt;&gt;0,'CHUNG TU'!I117,"")</f>
      </c>
    </row>
    <row r="127" spans="2:17" ht="12.75">
      <c r="B127" s="213" t="str">
        <f>IF($F127+$P127&lt;&gt;0,'CHUNG TU'!A118,"")</f>
        <v>25/10/2020</v>
      </c>
      <c r="C127" s="213" t="str">
        <f>IF($F127+$P127&lt;&gt;0,IF('CHUNG TU'!B118&lt;&gt;"",'CHUNG TU'!B118,IF('CHUNG TU'!C118&lt;&gt;"",'CHUNG TU'!C118,'CHUNG TU'!D118)),"")</f>
        <v>PX 10/003NVL</v>
      </c>
      <c r="D127" s="213" t="str">
        <f>IF($F127+$P127&lt;&gt;0,'CHUNG TU'!F118,"")</f>
        <v>25/10/2020</v>
      </c>
      <c r="E127" s="213" t="str">
        <f>IF($F127+$P127&lt;&gt;0,'CHUNG TU'!H118,"")</f>
        <v>Xuất vật liệu phụ cho QLQN</v>
      </c>
      <c r="F127" s="213">
        <f>IF(LEFT('CHUNG TU'!I118,3)='CPSXKD 642_yếu tố'!$H$7,'CHUNG TU'!$L118,0)</f>
        <v>4036729</v>
      </c>
      <c r="G127" s="213">
        <f>IF(G$10='CHUNG TU'!$I118,'CHUNG TU'!$L118,0)</f>
        <v>0</v>
      </c>
      <c r="H127" s="213">
        <f>IF(H$10='CHUNG TU'!$I118,'CHUNG TU'!$L118,0)</f>
        <v>4036729</v>
      </c>
      <c r="I127" s="213">
        <f>IF(I$10='CHUNG TU'!$I118,'CHUNG TU'!$L118,0)</f>
        <v>0</v>
      </c>
      <c r="J127" s="213">
        <f>IF(J$10='CHUNG TU'!$I118,'CHUNG TU'!$L118,0)</f>
        <v>0</v>
      </c>
      <c r="K127" s="213">
        <f>IF(K$10='CHUNG TU'!$I118,'CHUNG TU'!$L118,0)</f>
        <v>0</v>
      </c>
      <c r="L127" s="213">
        <f>IF(L$10='CHUNG TU'!$I118,'CHUNG TU'!$L118,0)</f>
        <v>0</v>
      </c>
      <c r="M127" s="213">
        <f>IF(M$10='CHUNG TU'!$I118,'CHUNG TU'!$L118,0)</f>
        <v>0</v>
      </c>
      <c r="N127" s="213">
        <f>IF(N$10='CHUNG TU'!$I118,'CHUNG TU'!$L118,0)</f>
        <v>0</v>
      </c>
      <c r="O127" s="213" t="str">
        <f>IF(F127&lt;&gt;0,'CHUNG TU'!J118,"")</f>
        <v>1522.B01</v>
      </c>
      <c r="P127" s="213">
        <f>IF(LEFT('CHUNG TU'!J118,3)='CPSXKD 642_yếu tố'!$H$7,'CHUNG TU'!$L118,0)</f>
        <v>0</v>
      </c>
      <c r="Q127" s="213">
        <f>IF(P127&lt;&gt;0,'CHUNG TU'!I118,"")</f>
      </c>
    </row>
    <row r="128" spans="2:17" ht="12.75">
      <c r="B128" s="213">
        <f>IF($F128+$P128&lt;&gt;0,'CHUNG TU'!A119,"")</f>
      </c>
      <c r="C128" s="213">
        <f>IF($F128+$P128&lt;&gt;0,IF('CHUNG TU'!B119&lt;&gt;"",'CHUNG TU'!B119,IF('CHUNG TU'!C119&lt;&gt;"",'CHUNG TU'!C119,'CHUNG TU'!D119)),"")</f>
      </c>
      <c r="D128" s="213">
        <f>IF($F128+$P128&lt;&gt;0,'CHUNG TU'!F119,"")</f>
      </c>
      <c r="E128" s="213">
        <f>IF($F128+$P128&lt;&gt;0,'CHUNG TU'!H119,"")</f>
      </c>
      <c r="F128" s="213">
        <f>IF(LEFT('CHUNG TU'!I119,3)='CPSXKD 642_yếu tố'!$H$7,'CHUNG TU'!$L119,0)</f>
        <v>0</v>
      </c>
      <c r="G128" s="213">
        <f>IF(G$10='CHUNG TU'!$I119,'CHUNG TU'!$L119,0)</f>
        <v>0</v>
      </c>
      <c r="H128" s="213">
        <f>IF(H$10='CHUNG TU'!$I119,'CHUNG TU'!$L119,0)</f>
        <v>0</v>
      </c>
      <c r="I128" s="213">
        <f>IF(I$10='CHUNG TU'!$I119,'CHUNG TU'!$L119,0)</f>
        <v>0</v>
      </c>
      <c r="J128" s="213">
        <f>IF(J$10='CHUNG TU'!$I119,'CHUNG TU'!$L119,0)</f>
        <v>0</v>
      </c>
      <c r="K128" s="213">
        <f>IF(K$10='CHUNG TU'!$I119,'CHUNG TU'!$L119,0)</f>
        <v>0</v>
      </c>
      <c r="L128" s="213">
        <f>IF(L$10='CHUNG TU'!$I119,'CHUNG TU'!$L119,0)</f>
        <v>0</v>
      </c>
      <c r="M128" s="213">
        <f>IF(M$10='CHUNG TU'!$I119,'CHUNG TU'!$L119,0)</f>
        <v>0</v>
      </c>
      <c r="N128" s="213">
        <f>IF(N$10='CHUNG TU'!$I119,'CHUNG TU'!$L119,0)</f>
        <v>0</v>
      </c>
      <c r="O128" s="213">
        <f>IF(F128&lt;&gt;0,'CHUNG TU'!J119,"")</f>
      </c>
      <c r="P128" s="213">
        <f>IF(LEFT('CHUNG TU'!J119,3)='CPSXKD 642_yếu tố'!$H$7,'CHUNG TU'!$L119,0)</f>
        <v>0</v>
      </c>
      <c r="Q128" s="213">
        <f>IF(P128&lt;&gt;0,'CHUNG TU'!I119,"")</f>
      </c>
    </row>
    <row r="129" spans="2:17" ht="12.75">
      <c r="B129" s="213">
        <f>IF($F129+$P129&lt;&gt;0,'CHUNG TU'!A120,"")</f>
      </c>
      <c r="C129" s="213">
        <f>IF($F129+$P129&lt;&gt;0,IF('CHUNG TU'!B120&lt;&gt;"",'CHUNG TU'!B120,IF('CHUNG TU'!C120&lt;&gt;"",'CHUNG TU'!C120,'CHUNG TU'!D120)),"")</f>
      </c>
      <c r="D129" s="213">
        <f>IF($F129+$P129&lt;&gt;0,'CHUNG TU'!F120,"")</f>
      </c>
      <c r="E129" s="213">
        <f>IF($F129+$P129&lt;&gt;0,'CHUNG TU'!H120,"")</f>
      </c>
      <c r="F129" s="213">
        <f>IF(LEFT('CHUNG TU'!I120,3)='CPSXKD 642_yếu tố'!$H$7,'CHUNG TU'!$L120,0)</f>
        <v>0</v>
      </c>
      <c r="G129" s="213">
        <f>IF(G$10='CHUNG TU'!$I120,'CHUNG TU'!$L120,0)</f>
        <v>0</v>
      </c>
      <c r="H129" s="213">
        <f>IF(H$10='CHUNG TU'!$I120,'CHUNG TU'!$L120,0)</f>
        <v>0</v>
      </c>
      <c r="I129" s="213">
        <f>IF(I$10='CHUNG TU'!$I120,'CHUNG TU'!$L120,0)</f>
        <v>0</v>
      </c>
      <c r="J129" s="213">
        <f>IF(J$10='CHUNG TU'!$I120,'CHUNG TU'!$L120,0)</f>
        <v>0</v>
      </c>
      <c r="K129" s="213">
        <f>IF(K$10='CHUNG TU'!$I120,'CHUNG TU'!$L120,0)</f>
        <v>0</v>
      </c>
      <c r="L129" s="213">
        <f>IF(L$10='CHUNG TU'!$I120,'CHUNG TU'!$L120,0)</f>
        <v>0</v>
      </c>
      <c r="M129" s="213">
        <f>IF(M$10='CHUNG TU'!$I120,'CHUNG TU'!$L120,0)</f>
        <v>0</v>
      </c>
      <c r="N129" s="213">
        <f>IF(N$10='CHUNG TU'!$I120,'CHUNG TU'!$L120,0)</f>
        <v>0</v>
      </c>
      <c r="O129" s="213">
        <f>IF(F129&lt;&gt;0,'CHUNG TU'!J120,"")</f>
      </c>
      <c r="P129" s="213">
        <f>IF(LEFT('CHUNG TU'!J120,3)='CPSXKD 642_yếu tố'!$H$7,'CHUNG TU'!$L120,0)</f>
        <v>0</v>
      </c>
      <c r="Q129" s="213">
        <f>IF(P129&lt;&gt;0,'CHUNG TU'!I120,"")</f>
      </c>
    </row>
    <row r="130" spans="2:17" ht="12.75">
      <c r="B130" s="213">
        <f>IF($F130+$P130&lt;&gt;0,'CHUNG TU'!A121,"")</f>
      </c>
      <c r="C130" s="213">
        <f>IF($F130+$P130&lt;&gt;0,IF('CHUNG TU'!B121&lt;&gt;"",'CHUNG TU'!B121,IF('CHUNG TU'!C121&lt;&gt;"",'CHUNG TU'!C121,'CHUNG TU'!D121)),"")</f>
      </c>
      <c r="D130" s="213">
        <f>IF($F130+$P130&lt;&gt;0,'CHUNG TU'!F121,"")</f>
      </c>
      <c r="E130" s="213">
        <f>IF($F130+$P130&lt;&gt;0,'CHUNG TU'!H121,"")</f>
      </c>
      <c r="F130" s="213">
        <f>IF(LEFT('CHUNG TU'!I121,3)='CPSXKD 642_yếu tố'!$H$7,'CHUNG TU'!$L121,0)</f>
        <v>0</v>
      </c>
      <c r="G130" s="213">
        <f>IF(G$10='CHUNG TU'!$I121,'CHUNG TU'!$L121,0)</f>
        <v>0</v>
      </c>
      <c r="H130" s="213">
        <f>IF(H$10='CHUNG TU'!$I121,'CHUNG TU'!$L121,0)</f>
        <v>0</v>
      </c>
      <c r="I130" s="213">
        <f>IF(I$10='CHUNG TU'!$I121,'CHUNG TU'!$L121,0)</f>
        <v>0</v>
      </c>
      <c r="J130" s="213">
        <f>IF(J$10='CHUNG TU'!$I121,'CHUNG TU'!$L121,0)</f>
        <v>0</v>
      </c>
      <c r="K130" s="213">
        <f>IF(K$10='CHUNG TU'!$I121,'CHUNG TU'!$L121,0)</f>
        <v>0</v>
      </c>
      <c r="L130" s="213">
        <f>IF(L$10='CHUNG TU'!$I121,'CHUNG TU'!$L121,0)</f>
        <v>0</v>
      </c>
      <c r="M130" s="213">
        <f>IF(M$10='CHUNG TU'!$I121,'CHUNG TU'!$L121,0)</f>
        <v>0</v>
      </c>
      <c r="N130" s="213">
        <f>IF(N$10='CHUNG TU'!$I121,'CHUNG TU'!$L121,0)</f>
        <v>0</v>
      </c>
      <c r="O130" s="213">
        <f>IF(F130&lt;&gt;0,'CHUNG TU'!J121,"")</f>
      </c>
      <c r="P130" s="213">
        <f>IF(LEFT('CHUNG TU'!J121,3)='CPSXKD 642_yếu tố'!$H$7,'CHUNG TU'!$L121,0)</f>
        <v>0</v>
      </c>
      <c r="Q130" s="213">
        <f>IF(P130&lt;&gt;0,'CHUNG TU'!I121,"")</f>
      </c>
    </row>
    <row r="131" spans="2:17" ht="12.75">
      <c r="B131" s="213">
        <f>IF($F131+$P131&lt;&gt;0,'CHUNG TU'!A122,"")</f>
      </c>
      <c r="C131" s="213">
        <f>IF($F131+$P131&lt;&gt;0,IF('CHUNG TU'!B122&lt;&gt;"",'CHUNG TU'!B122,IF('CHUNG TU'!C122&lt;&gt;"",'CHUNG TU'!C122,'CHUNG TU'!D122)),"")</f>
      </c>
      <c r="D131" s="213">
        <f>IF($F131+$P131&lt;&gt;0,'CHUNG TU'!F122,"")</f>
      </c>
      <c r="E131" s="213">
        <f>IF($F131+$P131&lt;&gt;0,'CHUNG TU'!H122,"")</f>
      </c>
      <c r="F131" s="213">
        <f>IF(LEFT('CHUNG TU'!I122,3)='CPSXKD 642_yếu tố'!$H$7,'CHUNG TU'!$L122,0)</f>
        <v>0</v>
      </c>
      <c r="G131" s="213">
        <f>IF(G$10='CHUNG TU'!$I122,'CHUNG TU'!$L122,0)</f>
        <v>0</v>
      </c>
      <c r="H131" s="213">
        <f>IF(H$10='CHUNG TU'!$I122,'CHUNG TU'!$L122,0)</f>
        <v>0</v>
      </c>
      <c r="I131" s="213">
        <f>IF(I$10='CHUNG TU'!$I122,'CHUNG TU'!$L122,0)</f>
        <v>0</v>
      </c>
      <c r="J131" s="213">
        <f>IF(J$10='CHUNG TU'!$I122,'CHUNG TU'!$L122,0)</f>
        <v>0</v>
      </c>
      <c r="K131" s="213">
        <f>IF(K$10='CHUNG TU'!$I122,'CHUNG TU'!$L122,0)</f>
        <v>0</v>
      </c>
      <c r="L131" s="213">
        <f>IF(L$10='CHUNG TU'!$I122,'CHUNG TU'!$L122,0)</f>
        <v>0</v>
      </c>
      <c r="M131" s="213">
        <f>IF(M$10='CHUNG TU'!$I122,'CHUNG TU'!$L122,0)</f>
        <v>0</v>
      </c>
      <c r="N131" s="213">
        <f>IF(N$10='CHUNG TU'!$I122,'CHUNG TU'!$L122,0)</f>
        <v>0</v>
      </c>
      <c r="O131" s="213">
        <f>IF(F131&lt;&gt;0,'CHUNG TU'!J122,"")</f>
      </c>
      <c r="P131" s="213">
        <f>IF(LEFT('CHUNG TU'!J122,3)='CPSXKD 642_yếu tố'!$H$7,'CHUNG TU'!$L122,0)</f>
        <v>0</v>
      </c>
      <c r="Q131" s="213">
        <f>IF(P131&lt;&gt;0,'CHUNG TU'!I122,"")</f>
      </c>
    </row>
    <row r="132" spans="2:17" ht="12.75">
      <c r="B132" s="213">
        <f>IF($F132+$P132&lt;&gt;0,'CHUNG TU'!A123,"")</f>
      </c>
      <c r="C132" s="213">
        <f>IF($F132+$P132&lt;&gt;0,IF('CHUNG TU'!B123&lt;&gt;"",'CHUNG TU'!B123,IF('CHUNG TU'!C123&lt;&gt;"",'CHUNG TU'!C123,'CHUNG TU'!D123)),"")</f>
      </c>
      <c r="D132" s="213">
        <f>IF($F132+$P132&lt;&gt;0,'CHUNG TU'!F123,"")</f>
      </c>
      <c r="E132" s="213">
        <f>IF($F132+$P132&lt;&gt;0,'CHUNG TU'!H123,"")</f>
      </c>
      <c r="F132" s="213">
        <f>IF(LEFT('CHUNG TU'!I123,3)='CPSXKD 642_yếu tố'!$H$7,'CHUNG TU'!$L123,0)</f>
        <v>0</v>
      </c>
      <c r="G132" s="213">
        <f>IF(G$10='CHUNG TU'!$I123,'CHUNG TU'!$L123,0)</f>
        <v>0</v>
      </c>
      <c r="H132" s="213">
        <f>IF(H$10='CHUNG TU'!$I123,'CHUNG TU'!$L123,0)</f>
        <v>0</v>
      </c>
      <c r="I132" s="213">
        <f>IF(I$10='CHUNG TU'!$I123,'CHUNG TU'!$L123,0)</f>
        <v>0</v>
      </c>
      <c r="J132" s="213">
        <f>IF(J$10='CHUNG TU'!$I123,'CHUNG TU'!$L123,0)</f>
        <v>0</v>
      </c>
      <c r="K132" s="213">
        <f>IF(K$10='CHUNG TU'!$I123,'CHUNG TU'!$L123,0)</f>
        <v>0</v>
      </c>
      <c r="L132" s="213">
        <f>IF(L$10='CHUNG TU'!$I123,'CHUNG TU'!$L123,0)</f>
        <v>0</v>
      </c>
      <c r="M132" s="213">
        <f>IF(M$10='CHUNG TU'!$I123,'CHUNG TU'!$L123,0)</f>
        <v>0</v>
      </c>
      <c r="N132" s="213">
        <f>IF(N$10='CHUNG TU'!$I123,'CHUNG TU'!$L123,0)</f>
        <v>0</v>
      </c>
      <c r="O132" s="213">
        <f>IF(F132&lt;&gt;0,'CHUNG TU'!J123,"")</f>
      </c>
      <c r="P132" s="213">
        <f>IF(LEFT('CHUNG TU'!J123,3)='CPSXKD 642_yếu tố'!$H$7,'CHUNG TU'!$L123,0)</f>
        <v>0</v>
      </c>
      <c r="Q132" s="213">
        <f>IF(P132&lt;&gt;0,'CHUNG TU'!I123,"")</f>
      </c>
    </row>
    <row r="133" spans="2:17" ht="12.75">
      <c r="B133" s="213">
        <f>IF($F133+$P133&lt;&gt;0,'CHUNG TU'!A124,"")</f>
      </c>
      <c r="C133" s="213">
        <f>IF($F133+$P133&lt;&gt;0,IF('CHUNG TU'!B124&lt;&gt;"",'CHUNG TU'!B124,IF('CHUNG TU'!C124&lt;&gt;"",'CHUNG TU'!C124,'CHUNG TU'!D124)),"")</f>
      </c>
      <c r="D133" s="213">
        <f>IF($F133+$P133&lt;&gt;0,'CHUNG TU'!F124,"")</f>
      </c>
      <c r="E133" s="213">
        <f>IF($F133+$P133&lt;&gt;0,'CHUNG TU'!H124,"")</f>
      </c>
      <c r="F133" s="213">
        <f>IF(LEFT('CHUNG TU'!I124,3)='CPSXKD 642_yếu tố'!$H$7,'CHUNG TU'!$L124,0)</f>
        <v>0</v>
      </c>
      <c r="G133" s="213">
        <f>IF(G$10='CHUNG TU'!$I124,'CHUNG TU'!$L124,0)</f>
        <v>0</v>
      </c>
      <c r="H133" s="213">
        <f>IF(H$10='CHUNG TU'!$I124,'CHUNG TU'!$L124,0)</f>
        <v>0</v>
      </c>
      <c r="I133" s="213">
        <f>IF(I$10='CHUNG TU'!$I124,'CHUNG TU'!$L124,0)</f>
        <v>0</v>
      </c>
      <c r="J133" s="213">
        <f>IF(J$10='CHUNG TU'!$I124,'CHUNG TU'!$L124,0)</f>
        <v>0</v>
      </c>
      <c r="K133" s="213">
        <f>IF(K$10='CHUNG TU'!$I124,'CHUNG TU'!$L124,0)</f>
        <v>0</v>
      </c>
      <c r="L133" s="213">
        <f>IF(L$10='CHUNG TU'!$I124,'CHUNG TU'!$L124,0)</f>
        <v>0</v>
      </c>
      <c r="M133" s="213">
        <f>IF(M$10='CHUNG TU'!$I124,'CHUNG TU'!$L124,0)</f>
        <v>0</v>
      </c>
      <c r="N133" s="213">
        <f>IF(N$10='CHUNG TU'!$I124,'CHUNG TU'!$L124,0)</f>
        <v>0</v>
      </c>
      <c r="O133" s="213">
        <f>IF(F133&lt;&gt;0,'CHUNG TU'!J124,"")</f>
      </c>
      <c r="P133" s="213">
        <f>IF(LEFT('CHUNG TU'!J124,3)='CPSXKD 642_yếu tố'!$H$7,'CHUNG TU'!$L124,0)</f>
        <v>0</v>
      </c>
      <c r="Q133" s="213">
        <f>IF(P133&lt;&gt;0,'CHUNG TU'!I124,"")</f>
      </c>
    </row>
    <row r="134" spans="2:17" ht="12.75">
      <c r="B134" s="213" t="str">
        <f>IF($F134+$P134&lt;&gt;0,'CHUNG TU'!A125,"")</f>
        <v>27/10/2020</v>
      </c>
      <c r="C134" s="213" t="str">
        <f>IF($F134+$P134&lt;&gt;0,IF('CHUNG TU'!B125&lt;&gt;"",'CHUNG TU'!B125,IF('CHUNG TU'!C125&lt;&gt;"",'CHUNG TU'!C125,'CHUNG TU'!D125)),"")</f>
        <v>PX 10/004NVL</v>
      </c>
      <c r="D134" s="213" t="str">
        <f>IF($F134+$P134&lt;&gt;0,'CHUNG TU'!F125,"")</f>
        <v>27/10/2020</v>
      </c>
      <c r="E134" s="213" t="str">
        <f>IF($F134+$P134&lt;&gt;0,'CHUNG TU'!H125,"")</f>
        <v>Xuất nhiên liệu cho quản lý doanh nghiệp</v>
      </c>
      <c r="F134" s="213">
        <f>IF(LEFT('CHUNG TU'!I125,3)='CPSXKD 642_yếu tố'!$H$7,'CHUNG TU'!$L125,0)</f>
        <v>1358793</v>
      </c>
      <c r="G134" s="213">
        <f>IF(G$10='CHUNG TU'!$I125,'CHUNG TU'!$L125,0)</f>
        <v>0</v>
      </c>
      <c r="H134" s="213">
        <f>IF(H$10='CHUNG TU'!$I125,'CHUNG TU'!$L125,0)</f>
        <v>1358793</v>
      </c>
      <c r="I134" s="213">
        <f>IF(I$10='CHUNG TU'!$I125,'CHUNG TU'!$L125,0)</f>
        <v>0</v>
      </c>
      <c r="J134" s="213">
        <f>IF(J$10='CHUNG TU'!$I125,'CHUNG TU'!$L125,0)</f>
        <v>0</v>
      </c>
      <c r="K134" s="213">
        <f>IF(K$10='CHUNG TU'!$I125,'CHUNG TU'!$L125,0)</f>
        <v>0</v>
      </c>
      <c r="L134" s="213">
        <f>IF(L$10='CHUNG TU'!$I125,'CHUNG TU'!$L125,0)</f>
        <v>0</v>
      </c>
      <c r="M134" s="213">
        <f>IF(M$10='CHUNG TU'!$I125,'CHUNG TU'!$L125,0)</f>
        <v>0</v>
      </c>
      <c r="N134" s="213">
        <f>IF(N$10='CHUNG TU'!$I125,'CHUNG TU'!$L125,0)</f>
        <v>0</v>
      </c>
      <c r="O134" s="213" t="str">
        <f>IF(F134&lt;&gt;0,'CHUNG TU'!J125,"")</f>
        <v>1523.C01</v>
      </c>
      <c r="P134" s="213">
        <f>IF(LEFT('CHUNG TU'!J125,3)='CPSXKD 642_yếu tố'!$H$7,'CHUNG TU'!$L125,0)</f>
        <v>0</v>
      </c>
      <c r="Q134" s="213">
        <f>IF(P134&lt;&gt;0,'CHUNG TU'!I125,"")</f>
      </c>
    </row>
    <row r="135" spans="2:17" ht="12.75">
      <c r="B135" s="213">
        <f>IF($F135+$P135&lt;&gt;0,'CHUNG TU'!A126,"")</f>
      </c>
      <c r="C135" s="213">
        <f>IF($F135+$P135&lt;&gt;0,IF('CHUNG TU'!B126&lt;&gt;"",'CHUNG TU'!B126,IF('CHUNG TU'!C126&lt;&gt;"",'CHUNG TU'!C126,'CHUNG TU'!D126)),"")</f>
      </c>
      <c r="D135" s="213">
        <f>IF($F135+$P135&lt;&gt;0,'CHUNG TU'!F126,"")</f>
      </c>
      <c r="E135" s="213">
        <f>IF($F135+$P135&lt;&gt;0,'CHUNG TU'!H126,"")</f>
      </c>
      <c r="F135" s="213">
        <f>IF(LEFT('CHUNG TU'!I126,3)='CPSXKD 642_yếu tố'!$H$7,'CHUNG TU'!$L126,0)</f>
        <v>0</v>
      </c>
      <c r="G135" s="213">
        <f>IF(G$10='CHUNG TU'!$I126,'CHUNG TU'!$L126,0)</f>
        <v>0</v>
      </c>
      <c r="H135" s="213">
        <f>IF(H$10='CHUNG TU'!$I126,'CHUNG TU'!$L126,0)</f>
        <v>0</v>
      </c>
      <c r="I135" s="213">
        <f>IF(I$10='CHUNG TU'!$I126,'CHUNG TU'!$L126,0)</f>
        <v>0</v>
      </c>
      <c r="J135" s="213">
        <f>IF(J$10='CHUNG TU'!$I126,'CHUNG TU'!$L126,0)</f>
        <v>0</v>
      </c>
      <c r="K135" s="213">
        <f>IF(K$10='CHUNG TU'!$I126,'CHUNG TU'!$L126,0)</f>
        <v>0</v>
      </c>
      <c r="L135" s="213">
        <f>IF(L$10='CHUNG TU'!$I126,'CHUNG TU'!$L126,0)</f>
        <v>0</v>
      </c>
      <c r="M135" s="213">
        <f>IF(M$10='CHUNG TU'!$I126,'CHUNG TU'!$L126,0)</f>
        <v>0</v>
      </c>
      <c r="N135" s="213">
        <f>IF(N$10='CHUNG TU'!$I126,'CHUNG TU'!$L126,0)</f>
        <v>0</v>
      </c>
      <c r="O135" s="213">
        <f>IF(F135&lt;&gt;0,'CHUNG TU'!J126,"")</f>
      </c>
      <c r="P135" s="213">
        <f>IF(LEFT('CHUNG TU'!J126,3)='CPSXKD 642_yếu tố'!$H$7,'CHUNG TU'!$L126,0)</f>
        <v>0</v>
      </c>
      <c r="Q135" s="213">
        <f>IF(P135&lt;&gt;0,'CHUNG TU'!I126,"")</f>
      </c>
    </row>
    <row r="136" spans="2:17" ht="12.75">
      <c r="B136" s="213" t="str">
        <f>IF($F136+$P136&lt;&gt;0,'CHUNG TU'!A127,"")</f>
        <v>27/10/2020</v>
      </c>
      <c r="C136" s="213" t="str">
        <f>IF($F136+$P136&lt;&gt;0,IF('CHUNG TU'!B127&lt;&gt;"",'CHUNG TU'!B127,IF('CHUNG TU'!C127&lt;&gt;"",'CHUNG TU'!C127,'CHUNG TU'!D127)),"")</f>
        <v>PX 10/02CCDC</v>
      </c>
      <c r="D136" s="213" t="str">
        <f>IF($F136+$P136&lt;&gt;0,'CHUNG TU'!F127,"")</f>
        <v>27/10/2020</v>
      </c>
      <c r="E136" s="213" t="str">
        <f>IF($F136+$P136&lt;&gt;0,'CHUNG TU'!H127,"")</f>
        <v>Xuất CCDC cho QLDN</v>
      </c>
      <c r="F136" s="213">
        <f>IF(LEFT('CHUNG TU'!I127,3)='CPSXKD 642_yếu tố'!$H$7,'CHUNG TU'!$L127,0)</f>
        <v>980000</v>
      </c>
      <c r="G136" s="213">
        <f>IF(G$10='CHUNG TU'!$I127,'CHUNG TU'!$L127,0)</f>
        <v>0</v>
      </c>
      <c r="H136" s="213">
        <f>IF(H$10='CHUNG TU'!$I127,'CHUNG TU'!$L127,0)</f>
        <v>0</v>
      </c>
      <c r="I136" s="213">
        <f>IF(I$10='CHUNG TU'!$I127,'CHUNG TU'!$L127,0)</f>
        <v>980000</v>
      </c>
      <c r="J136" s="213">
        <f>IF(J$10='CHUNG TU'!$I127,'CHUNG TU'!$L127,0)</f>
        <v>0</v>
      </c>
      <c r="K136" s="213">
        <f>IF(K$10='CHUNG TU'!$I127,'CHUNG TU'!$L127,0)</f>
        <v>0</v>
      </c>
      <c r="L136" s="213">
        <f>IF(L$10='CHUNG TU'!$I127,'CHUNG TU'!$L127,0)</f>
        <v>0</v>
      </c>
      <c r="M136" s="213">
        <f>IF(M$10='CHUNG TU'!$I127,'CHUNG TU'!$L127,0)</f>
        <v>0</v>
      </c>
      <c r="N136" s="213">
        <f>IF(N$10='CHUNG TU'!$I127,'CHUNG TU'!$L127,0)</f>
        <v>0</v>
      </c>
      <c r="O136" s="213" t="str">
        <f>IF(F136&lt;&gt;0,'CHUNG TU'!J127,"")</f>
        <v>1531.X01</v>
      </c>
      <c r="P136" s="213">
        <f>IF(LEFT('CHUNG TU'!J127,3)='CPSXKD 642_yếu tố'!$H$7,'CHUNG TU'!$L127,0)</f>
        <v>0</v>
      </c>
      <c r="Q136" s="213">
        <f>IF(P136&lt;&gt;0,'CHUNG TU'!I127,"")</f>
      </c>
    </row>
    <row r="137" spans="2:17" ht="12.75">
      <c r="B137" s="213" t="str">
        <f>IF($F137+$P137&lt;&gt;0,'CHUNG TU'!A128,"")</f>
        <v>27/10/2020</v>
      </c>
      <c r="C137" s="213" t="str">
        <f>IF($F137+$P137&lt;&gt;0,IF('CHUNG TU'!B128&lt;&gt;"",'CHUNG TU'!B128,IF('CHUNG TU'!C128&lt;&gt;"",'CHUNG TU'!C128,'CHUNG TU'!D128)),"")</f>
        <v>PKT10/036</v>
      </c>
      <c r="D137" s="213" t="str">
        <f>IF($F137+$P137&lt;&gt;0,'CHUNG TU'!F128,"")</f>
        <v>27/10/2020</v>
      </c>
      <c r="E137" s="213" t="str">
        <f>IF($F137+$P137&lt;&gt;0,'CHUNG TU'!H128,"")</f>
        <v>Phân bổ CCDC cho QLDN</v>
      </c>
      <c r="F137" s="213">
        <f>IF(LEFT('CHUNG TU'!I128,3)='CPSXKD 642_yếu tố'!$H$7,'CHUNG TU'!$L128,0)</f>
        <v>3062500</v>
      </c>
      <c r="G137" s="213">
        <f>IF(G$10='CHUNG TU'!$I128,'CHUNG TU'!$L128,0)</f>
        <v>0</v>
      </c>
      <c r="H137" s="213">
        <f>IF(H$10='CHUNG TU'!$I128,'CHUNG TU'!$L128,0)</f>
        <v>0</v>
      </c>
      <c r="I137" s="213">
        <f>IF(I$10='CHUNG TU'!$I128,'CHUNG TU'!$L128,0)</f>
        <v>3062500</v>
      </c>
      <c r="J137" s="213">
        <f>IF(J$10='CHUNG TU'!$I128,'CHUNG TU'!$L128,0)</f>
        <v>0</v>
      </c>
      <c r="K137" s="213">
        <f>IF(K$10='CHUNG TU'!$I128,'CHUNG TU'!$L128,0)</f>
        <v>0</v>
      </c>
      <c r="L137" s="213">
        <f>IF(L$10='CHUNG TU'!$I128,'CHUNG TU'!$L128,0)</f>
        <v>0</v>
      </c>
      <c r="M137" s="213">
        <f>IF(M$10='CHUNG TU'!$I128,'CHUNG TU'!$L128,0)</f>
        <v>0</v>
      </c>
      <c r="N137" s="213">
        <f>IF(N$10='CHUNG TU'!$I128,'CHUNG TU'!$L128,0)</f>
        <v>0</v>
      </c>
      <c r="O137" s="213" t="str">
        <f>IF(F137&lt;&gt;0,'CHUNG TU'!J128,"")</f>
        <v>2421.001</v>
      </c>
      <c r="P137" s="213">
        <f>IF(LEFT('CHUNG TU'!J128,3)='CPSXKD 642_yếu tố'!$H$7,'CHUNG TU'!$L128,0)</f>
        <v>0</v>
      </c>
      <c r="Q137" s="213">
        <f>IF(P137&lt;&gt;0,'CHUNG TU'!I128,"")</f>
      </c>
    </row>
    <row r="138" spans="2:17" ht="12.75">
      <c r="B138" s="213">
        <f>IF($F138+$P138&lt;&gt;0,'CHUNG TU'!A129,"")</f>
      </c>
      <c r="C138" s="213">
        <f>IF($F138+$P138&lt;&gt;0,IF('CHUNG TU'!B129&lt;&gt;"",'CHUNG TU'!B129,IF('CHUNG TU'!C129&lt;&gt;"",'CHUNG TU'!C129,'CHUNG TU'!D129)),"")</f>
      </c>
      <c r="D138" s="213">
        <f>IF($F138+$P138&lt;&gt;0,'CHUNG TU'!F129,"")</f>
      </c>
      <c r="E138" s="213">
        <f>IF($F138+$P138&lt;&gt;0,'CHUNG TU'!H129,"")</f>
      </c>
      <c r="F138" s="213">
        <f>IF(LEFT('CHUNG TU'!I129,3)='CPSXKD 642_yếu tố'!$H$7,'CHUNG TU'!$L129,0)</f>
        <v>0</v>
      </c>
      <c r="G138" s="213">
        <f>IF(G$10='CHUNG TU'!$I129,'CHUNG TU'!$L129,0)</f>
        <v>0</v>
      </c>
      <c r="H138" s="213">
        <f>IF(H$10='CHUNG TU'!$I129,'CHUNG TU'!$L129,0)</f>
        <v>0</v>
      </c>
      <c r="I138" s="213">
        <f>IF(I$10='CHUNG TU'!$I129,'CHUNG TU'!$L129,0)</f>
        <v>0</v>
      </c>
      <c r="J138" s="213">
        <f>IF(J$10='CHUNG TU'!$I129,'CHUNG TU'!$L129,0)</f>
        <v>0</v>
      </c>
      <c r="K138" s="213">
        <f>IF(K$10='CHUNG TU'!$I129,'CHUNG TU'!$L129,0)</f>
        <v>0</v>
      </c>
      <c r="L138" s="213">
        <f>IF(L$10='CHUNG TU'!$I129,'CHUNG TU'!$L129,0)</f>
        <v>0</v>
      </c>
      <c r="M138" s="213">
        <f>IF(M$10='CHUNG TU'!$I129,'CHUNG TU'!$L129,0)</f>
        <v>0</v>
      </c>
      <c r="N138" s="213">
        <f>IF(N$10='CHUNG TU'!$I129,'CHUNG TU'!$L129,0)</f>
        <v>0</v>
      </c>
      <c r="O138" s="213">
        <f>IF(F138&lt;&gt;0,'CHUNG TU'!J129,"")</f>
      </c>
      <c r="P138" s="213">
        <f>IF(LEFT('CHUNG TU'!J129,3)='CPSXKD 642_yếu tố'!$H$7,'CHUNG TU'!$L129,0)</f>
        <v>0</v>
      </c>
      <c r="Q138" s="213">
        <f>IF(P138&lt;&gt;0,'CHUNG TU'!I129,"")</f>
      </c>
    </row>
    <row r="139" spans="2:17" ht="12.75">
      <c r="B139" s="213" t="str">
        <f>IF($F139+$P139&lt;&gt;0,'CHUNG TU'!A130,"")</f>
        <v>28/10/2020</v>
      </c>
      <c r="C139" s="213" t="str">
        <f>IF($F139+$P139&lt;&gt;0,IF('CHUNG TU'!B130&lt;&gt;"",'CHUNG TU'!B130,IF('CHUNG TU'!C130&lt;&gt;"",'CHUNG TU'!C130,'CHUNG TU'!D130)),"")</f>
        <v>PKT10/038</v>
      </c>
      <c r="D139" s="213" t="str">
        <f>IF($F139+$P139&lt;&gt;0,'CHUNG TU'!F130,"")</f>
        <v>28/10/2020</v>
      </c>
      <c r="E139" s="213" t="str">
        <f>IF($F139+$P139&lt;&gt;0,'CHUNG TU'!H130,"")</f>
        <v>Nguyễn Minh Ngân thanh toán tạm ứng tiền tàu xe</v>
      </c>
      <c r="F139" s="213">
        <f>IF(LEFT('CHUNG TU'!I130,3)='CPSXKD 642_yếu tố'!$H$7,'CHUNG TU'!$L130,0)</f>
        <v>9000000</v>
      </c>
      <c r="G139" s="213">
        <f>IF(G$10='CHUNG TU'!$I130,'CHUNG TU'!$L130,0)</f>
        <v>0</v>
      </c>
      <c r="H139" s="213">
        <f>IF(H$10='CHUNG TU'!$I130,'CHUNG TU'!$L130,0)</f>
        <v>0</v>
      </c>
      <c r="I139" s="213">
        <f>IF(I$10='CHUNG TU'!$I130,'CHUNG TU'!$L130,0)</f>
        <v>0</v>
      </c>
      <c r="J139" s="213">
        <f>IF(J$10='CHUNG TU'!$I130,'CHUNG TU'!$L130,0)</f>
        <v>0</v>
      </c>
      <c r="K139" s="213">
        <f>IF(K$10='CHUNG TU'!$I130,'CHUNG TU'!$L130,0)</f>
        <v>0</v>
      </c>
      <c r="L139" s="213">
        <f>IF(L$10='CHUNG TU'!$I130,'CHUNG TU'!$L130,0)</f>
        <v>0</v>
      </c>
      <c r="M139" s="213">
        <f>IF(M$10='CHUNG TU'!$I130,'CHUNG TU'!$L130,0)</f>
        <v>0</v>
      </c>
      <c r="N139" s="213">
        <f>IF(N$10='CHUNG TU'!$I130,'CHUNG TU'!$L130,0)</f>
        <v>9000000</v>
      </c>
      <c r="O139" s="213" t="str">
        <f>IF(F139&lt;&gt;0,'CHUNG TU'!J130,"")</f>
        <v>141.001</v>
      </c>
      <c r="P139" s="213">
        <f>IF(LEFT('CHUNG TU'!J130,3)='CPSXKD 642_yếu tố'!$H$7,'CHUNG TU'!$L130,0)</f>
        <v>0</v>
      </c>
      <c r="Q139" s="213">
        <f>IF(P139&lt;&gt;0,'CHUNG TU'!I130,"")</f>
      </c>
    </row>
    <row r="140" spans="2:17" ht="12.75">
      <c r="B140" s="213">
        <f>IF($F140+$P140&lt;&gt;0,'CHUNG TU'!A131,"")</f>
      </c>
      <c r="C140" s="213">
        <f>IF($F140+$P140&lt;&gt;0,IF('CHUNG TU'!B131&lt;&gt;"",'CHUNG TU'!B131,IF('CHUNG TU'!C131&lt;&gt;"",'CHUNG TU'!C131,'CHUNG TU'!D131)),"")</f>
      </c>
      <c r="D140" s="213">
        <f>IF($F140+$P140&lt;&gt;0,'CHUNG TU'!F131,"")</f>
      </c>
      <c r="E140" s="213">
        <f>IF($F140+$P140&lt;&gt;0,'CHUNG TU'!H131,"")</f>
      </c>
      <c r="F140" s="213">
        <f>IF(LEFT('CHUNG TU'!I131,3)='CPSXKD 642_yếu tố'!$H$7,'CHUNG TU'!$L131,0)</f>
        <v>0</v>
      </c>
      <c r="G140" s="213">
        <f>IF(G$10='CHUNG TU'!$I131,'CHUNG TU'!$L131,0)</f>
        <v>0</v>
      </c>
      <c r="H140" s="213">
        <f>IF(H$10='CHUNG TU'!$I131,'CHUNG TU'!$L131,0)</f>
        <v>0</v>
      </c>
      <c r="I140" s="213">
        <f>IF(I$10='CHUNG TU'!$I131,'CHUNG TU'!$L131,0)</f>
        <v>0</v>
      </c>
      <c r="J140" s="213">
        <f>IF(J$10='CHUNG TU'!$I131,'CHUNG TU'!$L131,0)</f>
        <v>0</v>
      </c>
      <c r="K140" s="213">
        <f>IF(K$10='CHUNG TU'!$I131,'CHUNG TU'!$L131,0)</f>
        <v>0</v>
      </c>
      <c r="L140" s="213">
        <f>IF(L$10='CHUNG TU'!$I131,'CHUNG TU'!$L131,0)</f>
        <v>0</v>
      </c>
      <c r="M140" s="213">
        <f>IF(M$10='CHUNG TU'!$I131,'CHUNG TU'!$L131,0)</f>
        <v>0</v>
      </c>
      <c r="N140" s="213">
        <f>IF(N$10='CHUNG TU'!$I131,'CHUNG TU'!$L131,0)</f>
        <v>0</v>
      </c>
      <c r="O140" s="213">
        <f>IF(F140&lt;&gt;0,'CHUNG TU'!J131,"")</f>
      </c>
      <c r="P140" s="213">
        <f>IF(LEFT('CHUNG TU'!J131,3)='CPSXKD 642_yếu tố'!$H$7,'CHUNG TU'!$L131,0)</f>
        <v>0</v>
      </c>
      <c r="Q140" s="213">
        <f>IF(P140&lt;&gt;0,'CHUNG TU'!I131,"")</f>
      </c>
    </row>
    <row r="141" spans="2:17" ht="12.75">
      <c r="B141" s="213">
        <f>IF($F141+$P141&lt;&gt;0,'CHUNG TU'!A132,"")</f>
      </c>
      <c r="C141" s="213">
        <f>IF($F141+$P141&lt;&gt;0,IF('CHUNG TU'!B132&lt;&gt;"",'CHUNG TU'!B132,IF('CHUNG TU'!C132&lt;&gt;"",'CHUNG TU'!C132,'CHUNG TU'!D132)),"")</f>
      </c>
      <c r="D141" s="213">
        <f>IF($F141+$P141&lt;&gt;0,'CHUNG TU'!F132,"")</f>
      </c>
      <c r="E141" s="213">
        <f>IF($F141+$P141&lt;&gt;0,'CHUNG TU'!H132,"")</f>
      </c>
      <c r="F141" s="213">
        <f>IF(LEFT('CHUNG TU'!I132,3)='CPSXKD 642_yếu tố'!$H$7,'CHUNG TU'!$L132,0)</f>
        <v>0</v>
      </c>
      <c r="G141" s="213">
        <f>IF(G$10='CHUNG TU'!$I132,'CHUNG TU'!$L132,0)</f>
        <v>0</v>
      </c>
      <c r="H141" s="213">
        <f>IF(H$10='CHUNG TU'!$I132,'CHUNG TU'!$L132,0)</f>
        <v>0</v>
      </c>
      <c r="I141" s="213">
        <f>IF(I$10='CHUNG TU'!$I132,'CHUNG TU'!$L132,0)</f>
        <v>0</v>
      </c>
      <c r="J141" s="213">
        <f>IF(J$10='CHUNG TU'!$I132,'CHUNG TU'!$L132,0)</f>
        <v>0</v>
      </c>
      <c r="K141" s="213">
        <f>IF(K$10='CHUNG TU'!$I132,'CHUNG TU'!$L132,0)</f>
        <v>0</v>
      </c>
      <c r="L141" s="213">
        <f>IF(L$10='CHUNG TU'!$I132,'CHUNG TU'!$L132,0)</f>
        <v>0</v>
      </c>
      <c r="M141" s="213">
        <f>IF(M$10='CHUNG TU'!$I132,'CHUNG TU'!$L132,0)</f>
        <v>0</v>
      </c>
      <c r="N141" s="213">
        <f>IF(N$10='CHUNG TU'!$I132,'CHUNG TU'!$L132,0)</f>
        <v>0</v>
      </c>
      <c r="O141" s="213">
        <f>IF(F141&lt;&gt;0,'CHUNG TU'!J132,"")</f>
      </c>
      <c r="P141" s="213">
        <f>IF(LEFT('CHUNG TU'!J132,3)='CPSXKD 642_yếu tố'!$H$7,'CHUNG TU'!$L132,0)</f>
        <v>0</v>
      </c>
      <c r="Q141" s="213">
        <f>IF(P141&lt;&gt;0,'CHUNG TU'!I132,"")</f>
      </c>
    </row>
    <row r="142" spans="2:17" ht="12.75">
      <c r="B142" s="213">
        <f>IF($F142+$P142&lt;&gt;0,'CHUNG TU'!A133,"")</f>
      </c>
      <c r="C142" s="213">
        <f>IF($F142+$P142&lt;&gt;0,IF('CHUNG TU'!B133&lt;&gt;"",'CHUNG TU'!B133,IF('CHUNG TU'!C133&lt;&gt;"",'CHUNG TU'!C133,'CHUNG TU'!D133)),"")</f>
      </c>
      <c r="D142" s="213">
        <f>IF($F142+$P142&lt;&gt;0,'CHUNG TU'!F133,"")</f>
      </c>
      <c r="E142" s="213">
        <f>IF($F142+$P142&lt;&gt;0,'CHUNG TU'!H133,"")</f>
      </c>
      <c r="F142" s="213">
        <f>IF(LEFT('CHUNG TU'!I133,3)='CPSXKD 642_yếu tố'!$H$7,'CHUNG TU'!$L133,0)</f>
        <v>0</v>
      </c>
      <c r="G142" s="213">
        <f>IF(G$10='CHUNG TU'!$I133,'CHUNG TU'!$L133,0)</f>
        <v>0</v>
      </c>
      <c r="H142" s="213">
        <f>IF(H$10='CHUNG TU'!$I133,'CHUNG TU'!$L133,0)</f>
        <v>0</v>
      </c>
      <c r="I142" s="213">
        <f>IF(I$10='CHUNG TU'!$I133,'CHUNG TU'!$L133,0)</f>
        <v>0</v>
      </c>
      <c r="J142" s="213">
        <f>IF(J$10='CHUNG TU'!$I133,'CHUNG TU'!$L133,0)</f>
        <v>0</v>
      </c>
      <c r="K142" s="213">
        <f>IF(K$10='CHUNG TU'!$I133,'CHUNG TU'!$L133,0)</f>
        <v>0</v>
      </c>
      <c r="L142" s="213">
        <f>IF(L$10='CHUNG TU'!$I133,'CHUNG TU'!$L133,0)</f>
        <v>0</v>
      </c>
      <c r="M142" s="213">
        <f>IF(M$10='CHUNG TU'!$I133,'CHUNG TU'!$L133,0)</f>
        <v>0</v>
      </c>
      <c r="N142" s="213">
        <f>IF(N$10='CHUNG TU'!$I133,'CHUNG TU'!$L133,0)</f>
        <v>0</v>
      </c>
      <c r="O142" s="213">
        <f>IF(F142&lt;&gt;0,'CHUNG TU'!J133,"")</f>
      </c>
      <c r="P142" s="213">
        <f>IF(LEFT('CHUNG TU'!J133,3)='CPSXKD 642_yếu tố'!$H$7,'CHUNG TU'!$L133,0)</f>
        <v>0</v>
      </c>
      <c r="Q142" s="213">
        <f>IF(P142&lt;&gt;0,'CHUNG TU'!I133,"")</f>
      </c>
    </row>
    <row r="143" spans="2:17" ht="12.75">
      <c r="B143" s="213">
        <f>IF($F143+$P143&lt;&gt;0,'CHUNG TU'!A134,"")</f>
      </c>
      <c r="C143" s="213">
        <f>IF($F143+$P143&lt;&gt;0,IF('CHUNG TU'!B134&lt;&gt;"",'CHUNG TU'!B134,IF('CHUNG TU'!C134&lt;&gt;"",'CHUNG TU'!C134,'CHUNG TU'!D134)),"")</f>
      </c>
      <c r="D143" s="213">
        <f>IF($F143+$P143&lt;&gt;0,'CHUNG TU'!F134,"")</f>
      </c>
      <c r="E143" s="213">
        <f>IF($F143+$P143&lt;&gt;0,'CHUNG TU'!H134,"")</f>
      </c>
      <c r="F143" s="213">
        <f>IF(LEFT('CHUNG TU'!I134,3)='CPSXKD 642_yếu tố'!$H$7,'CHUNG TU'!$L134,0)</f>
        <v>0</v>
      </c>
      <c r="G143" s="213">
        <f>IF(G$10='CHUNG TU'!$I134,'CHUNG TU'!$L134,0)</f>
        <v>0</v>
      </c>
      <c r="H143" s="213">
        <f>IF(H$10='CHUNG TU'!$I134,'CHUNG TU'!$L134,0)</f>
        <v>0</v>
      </c>
      <c r="I143" s="213">
        <f>IF(I$10='CHUNG TU'!$I134,'CHUNG TU'!$L134,0)</f>
        <v>0</v>
      </c>
      <c r="J143" s="213">
        <f>IF(J$10='CHUNG TU'!$I134,'CHUNG TU'!$L134,0)</f>
        <v>0</v>
      </c>
      <c r="K143" s="213">
        <f>IF(K$10='CHUNG TU'!$I134,'CHUNG TU'!$L134,0)</f>
        <v>0</v>
      </c>
      <c r="L143" s="213">
        <f>IF(L$10='CHUNG TU'!$I134,'CHUNG TU'!$L134,0)</f>
        <v>0</v>
      </c>
      <c r="M143" s="213">
        <f>IF(M$10='CHUNG TU'!$I134,'CHUNG TU'!$L134,0)</f>
        <v>0</v>
      </c>
      <c r="N143" s="213">
        <f>IF(N$10='CHUNG TU'!$I134,'CHUNG TU'!$L134,0)</f>
        <v>0</v>
      </c>
      <c r="O143" s="213">
        <f>IF(F143&lt;&gt;0,'CHUNG TU'!J134,"")</f>
      </c>
      <c r="P143" s="213">
        <f>IF(LEFT('CHUNG TU'!J134,3)='CPSXKD 642_yếu tố'!$H$7,'CHUNG TU'!$L134,0)</f>
        <v>0</v>
      </c>
      <c r="Q143" s="213">
        <f>IF(P143&lt;&gt;0,'CHUNG TU'!I134,"")</f>
      </c>
    </row>
    <row r="144" spans="2:17" ht="12.75">
      <c r="B144" s="213">
        <f>IF($F144+$P144&lt;&gt;0,'CHUNG TU'!A135,"")</f>
      </c>
      <c r="C144" s="213">
        <f>IF($F144+$P144&lt;&gt;0,IF('CHUNG TU'!B135&lt;&gt;"",'CHUNG TU'!B135,IF('CHUNG TU'!C135&lt;&gt;"",'CHUNG TU'!C135,'CHUNG TU'!D135)),"")</f>
      </c>
      <c r="D144" s="213">
        <f>IF($F144+$P144&lt;&gt;0,'CHUNG TU'!F135,"")</f>
      </c>
      <c r="E144" s="213">
        <f>IF($F144+$P144&lt;&gt;0,'CHUNG TU'!H135,"")</f>
      </c>
      <c r="F144" s="213">
        <f>IF(LEFT('CHUNG TU'!I135,3)='CPSXKD 642_yếu tố'!$H$7,'CHUNG TU'!$L135,0)</f>
        <v>0</v>
      </c>
      <c r="G144" s="213">
        <f>IF(G$10='CHUNG TU'!$I135,'CHUNG TU'!$L135,0)</f>
        <v>0</v>
      </c>
      <c r="H144" s="213">
        <f>IF(H$10='CHUNG TU'!$I135,'CHUNG TU'!$L135,0)</f>
        <v>0</v>
      </c>
      <c r="I144" s="213">
        <f>IF(I$10='CHUNG TU'!$I135,'CHUNG TU'!$L135,0)</f>
        <v>0</v>
      </c>
      <c r="J144" s="213">
        <f>IF(J$10='CHUNG TU'!$I135,'CHUNG TU'!$L135,0)</f>
        <v>0</v>
      </c>
      <c r="K144" s="213">
        <f>IF(K$10='CHUNG TU'!$I135,'CHUNG TU'!$L135,0)</f>
        <v>0</v>
      </c>
      <c r="L144" s="213">
        <f>IF(L$10='CHUNG TU'!$I135,'CHUNG TU'!$L135,0)</f>
        <v>0</v>
      </c>
      <c r="M144" s="213">
        <f>IF(M$10='CHUNG TU'!$I135,'CHUNG TU'!$L135,0)</f>
        <v>0</v>
      </c>
      <c r="N144" s="213">
        <f>IF(N$10='CHUNG TU'!$I135,'CHUNG TU'!$L135,0)</f>
        <v>0</v>
      </c>
      <c r="O144" s="213">
        <f>IF(F144&lt;&gt;0,'CHUNG TU'!J135,"")</f>
      </c>
      <c r="P144" s="213">
        <f>IF(LEFT('CHUNG TU'!J135,3)='CPSXKD 642_yếu tố'!$H$7,'CHUNG TU'!$L135,0)</f>
        <v>0</v>
      </c>
      <c r="Q144" s="213">
        <f>IF(P144&lt;&gt;0,'CHUNG TU'!I135,"")</f>
      </c>
    </row>
    <row r="145" spans="2:17" ht="12.75">
      <c r="B145" s="213">
        <f>IF($F145+$P145&lt;&gt;0,'CHUNG TU'!A136,"")</f>
      </c>
      <c r="C145" s="213">
        <f>IF($F145+$P145&lt;&gt;0,IF('CHUNG TU'!B136&lt;&gt;"",'CHUNG TU'!B136,IF('CHUNG TU'!C136&lt;&gt;"",'CHUNG TU'!C136,'CHUNG TU'!D136)),"")</f>
      </c>
      <c r="D145" s="213">
        <f>IF($F145+$P145&lt;&gt;0,'CHUNG TU'!F136,"")</f>
      </c>
      <c r="E145" s="213">
        <f>IF($F145+$P145&lt;&gt;0,'CHUNG TU'!H136,"")</f>
      </c>
      <c r="F145" s="213">
        <f>IF(LEFT('CHUNG TU'!I136,3)='CPSXKD 642_yếu tố'!$H$7,'CHUNG TU'!$L136,0)</f>
        <v>0</v>
      </c>
      <c r="G145" s="213">
        <f>IF(G$10='CHUNG TU'!$I136,'CHUNG TU'!$L136,0)</f>
        <v>0</v>
      </c>
      <c r="H145" s="213">
        <f>IF(H$10='CHUNG TU'!$I136,'CHUNG TU'!$L136,0)</f>
        <v>0</v>
      </c>
      <c r="I145" s="213">
        <f>IF(I$10='CHUNG TU'!$I136,'CHUNG TU'!$L136,0)</f>
        <v>0</v>
      </c>
      <c r="J145" s="213">
        <f>IF(J$10='CHUNG TU'!$I136,'CHUNG TU'!$L136,0)</f>
        <v>0</v>
      </c>
      <c r="K145" s="213">
        <f>IF(K$10='CHUNG TU'!$I136,'CHUNG TU'!$L136,0)</f>
        <v>0</v>
      </c>
      <c r="L145" s="213">
        <f>IF(L$10='CHUNG TU'!$I136,'CHUNG TU'!$L136,0)</f>
        <v>0</v>
      </c>
      <c r="M145" s="213">
        <f>IF(M$10='CHUNG TU'!$I136,'CHUNG TU'!$L136,0)</f>
        <v>0</v>
      </c>
      <c r="N145" s="213">
        <f>IF(N$10='CHUNG TU'!$I136,'CHUNG TU'!$L136,0)</f>
        <v>0</v>
      </c>
      <c r="O145" s="213">
        <f>IF(F145&lt;&gt;0,'CHUNG TU'!J136,"")</f>
      </c>
      <c r="P145" s="213">
        <f>IF(LEFT('CHUNG TU'!J136,3)='CPSXKD 642_yếu tố'!$H$7,'CHUNG TU'!$L136,0)</f>
        <v>0</v>
      </c>
      <c r="Q145" s="213">
        <f>IF(P145&lt;&gt;0,'CHUNG TU'!I136,"")</f>
      </c>
    </row>
    <row r="146" spans="2:17" ht="12.75">
      <c r="B146" s="213">
        <f>IF($F146+$P146&lt;&gt;0,'CHUNG TU'!A137,"")</f>
      </c>
      <c r="C146" s="213">
        <f>IF($F146+$P146&lt;&gt;0,IF('CHUNG TU'!B137&lt;&gt;"",'CHUNG TU'!B137,IF('CHUNG TU'!C137&lt;&gt;"",'CHUNG TU'!C137,'CHUNG TU'!D137)),"")</f>
      </c>
      <c r="D146" s="213">
        <f>IF($F146+$P146&lt;&gt;0,'CHUNG TU'!F137,"")</f>
      </c>
      <c r="E146" s="213">
        <f>IF($F146+$P146&lt;&gt;0,'CHUNG TU'!H137,"")</f>
      </c>
      <c r="F146" s="213">
        <f>IF(LEFT('CHUNG TU'!I137,3)='CPSXKD 642_yếu tố'!$H$7,'CHUNG TU'!$L137,0)</f>
        <v>0</v>
      </c>
      <c r="G146" s="213">
        <f>IF(G$10='CHUNG TU'!$I137,'CHUNG TU'!$L137,0)</f>
        <v>0</v>
      </c>
      <c r="H146" s="213">
        <f>IF(H$10='CHUNG TU'!$I137,'CHUNG TU'!$L137,0)</f>
        <v>0</v>
      </c>
      <c r="I146" s="213">
        <f>IF(I$10='CHUNG TU'!$I137,'CHUNG TU'!$L137,0)</f>
        <v>0</v>
      </c>
      <c r="J146" s="213">
        <f>IF(J$10='CHUNG TU'!$I137,'CHUNG TU'!$L137,0)</f>
        <v>0</v>
      </c>
      <c r="K146" s="213">
        <f>IF(K$10='CHUNG TU'!$I137,'CHUNG TU'!$L137,0)</f>
        <v>0</v>
      </c>
      <c r="L146" s="213">
        <f>IF(L$10='CHUNG TU'!$I137,'CHUNG TU'!$L137,0)</f>
        <v>0</v>
      </c>
      <c r="M146" s="213">
        <f>IF(M$10='CHUNG TU'!$I137,'CHUNG TU'!$L137,0)</f>
        <v>0</v>
      </c>
      <c r="N146" s="213">
        <f>IF(N$10='CHUNG TU'!$I137,'CHUNG TU'!$L137,0)</f>
        <v>0</v>
      </c>
      <c r="O146" s="213">
        <f>IF(F146&lt;&gt;0,'CHUNG TU'!J137,"")</f>
      </c>
      <c r="P146" s="213">
        <f>IF(LEFT('CHUNG TU'!J137,3)='CPSXKD 642_yếu tố'!$H$7,'CHUNG TU'!$L137,0)</f>
        <v>0</v>
      </c>
      <c r="Q146" s="213">
        <f>IF(P146&lt;&gt;0,'CHUNG TU'!I137,"")</f>
      </c>
    </row>
    <row r="147" spans="2:17" ht="12.75">
      <c r="B147" s="213">
        <f>IF($F147+$P147&lt;&gt;0,'CHUNG TU'!A138,"")</f>
      </c>
      <c r="C147" s="213">
        <f>IF($F147+$P147&lt;&gt;0,IF('CHUNG TU'!B138&lt;&gt;"",'CHUNG TU'!B138,IF('CHUNG TU'!C138&lt;&gt;"",'CHUNG TU'!C138,'CHUNG TU'!D138)),"")</f>
      </c>
      <c r="D147" s="213">
        <f>IF($F147+$P147&lt;&gt;0,'CHUNG TU'!F138,"")</f>
      </c>
      <c r="E147" s="213">
        <f>IF($F147+$P147&lt;&gt;0,'CHUNG TU'!H138,"")</f>
      </c>
      <c r="F147" s="213">
        <f>IF(LEFT('CHUNG TU'!I138,3)='CPSXKD 642_yếu tố'!$H$7,'CHUNG TU'!$L138,0)</f>
        <v>0</v>
      </c>
      <c r="G147" s="213">
        <f>IF(G$10='CHUNG TU'!$I138,'CHUNG TU'!$L138,0)</f>
        <v>0</v>
      </c>
      <c r="H147" s="213">
        <f>IF(H$10='CHUNG TU'!$I138,'CHUNG TU'!$L138,0)</f>
        <v>0</v>
      </c>
      <c r="I147" s="213">
        <f>IF(I$10='CHUNG TU'!$I138,'CHUNG TU'!$L138,0)</f>
        <v>0</v>
      </c>
      <c r="J147" s="213">
        <f>IF(J$10='CHUNG TU'!$I138,'CHUNG TU'!$L138,0)</f>
        <v>0</v>
      </c>
      <c r="K147" s="213">
        <f>IF(K$10='CHUNG TU'!$I138,'CHUNG TU'!$L138,0)</f>
        <v>0</v>
      </c>
      <c r="L147" s="213">
        <f>IF(L$10='CHUNG TU'!$I138,'CHUNG TU'!$L138,0)</f>
        <v>0</v>
      </c>
      <c r="M147" s="213">
        <f>IF(M$10='CHUNG TU'!$I138,'CHUNG TU'!$L138,0)</f>
        <v>0</v>
      </c>
      <c r="N147" s="213">
        <f>IF(N$10='CHUNG TU'!$I138,'CHUNG TU'!$L138,0)</f>
        <v>0</v>
      </c>
      <c r="O147" s="213">
        <f>IF(F147&lt;&gt;0,'CHUNG TU'!J138,"")</f>
      </c>
      <c r="P147" s="213">
        <f>IF(LEFT('CHUNG TU'!J138,3)='CPSXKD 642_yếu tố'!$H$7,'CHUNG TU'!$L138,0)</f>
        <v>0</v>
      </c>
      <c r="Q147" s="213">
        <f>IF(P147&lt;&gt;0,'CHUNG TU'!I138,"")</f>
      </c>
    </row>
    <row r="148" spans="2:17" ht="12.75">
      <c r="B148" s="213">
        <f>IF($F148+$P148&lt;&gt;0,'CHUNG TU'!A139,"")</f>
      </c>
      <c r="C148" s="213">
        <f>IF($F148+$P148&lt;&gt;0,IF('CHUNG TU'!B139&lt;&gt;"",'CHUNG TU'!B139,IF('CHUNG TU'!C139&lt;&gt;"",'CHUNG TU'!C139,'CHUNG TU'!D139)),"")</f>
      </c>
      <c r="D148" s="213">
        <f>IF($F148+$P148&lt;&gt;0,'CHUNG TU'!F139,"")</f>
      </c>
      <c r="E148" s="213">
        <f>IF($F148+$P148&lt;&gt;0,'CHUNG TU'!H139,"")</f>
      </c>
      <c r="F148" s="213">
        <f>IF(LEFT('CHUNG TU'!I139,3)='CPSXKD 642_yếu tố'!$H$7,'CHUNG TU'!$L139,0)</f>
        <v>0</v>
      </c>
      <c r="G148" s="213">
        <f>IF(G$10='CHUNG TU'!$I139,'CHUNG TU'!$L139,0)</f>
        <v>0</v>
      </c>
      <c r="H148" s="213">
        <f>IF(H$10='CHUNG TU'!$I139,'CHUNG TU'!$L139,0)</f>
        <v>0</v>
      </c>
      <c r="I148" s="213">
        <f>IF(I$10='CHUNG TU'!$I139,'CHUNG TU'!$L139,0)</f>
        <v>0</v>
      </c>
      <c r="J148" s="213">
        <f>IF(J$10='CHUNG TU'!$I139,'CHUNG TU'!$L139,0)</f>
        <v>0</v>
      </c>
      <c r="K148" s="213">
        <f>IF(K$10='CHUNG TU'!$I139,'CHUNG TU'!$L139,0)</f>
        <v>0</v>
      </c>
      <c r="L148" s="213">
        <f>IF(L$10='CHUNG TU'!$I139,'CHUNG TU'!$L139,0)</f>
        <v>0</v>
      </c>
      <c r="M148" s="213">
        <f>IF(M$10='CHUNG TU'!$I139,'CHUNG TU'!$L139,0)</f>
        <v>0</v>
      </c>
      <c r="N148" s="213">
        <f>IF(N$10='CHUNG TU'!$I139,'CHUNG TU'!$L139,0)</f>
        <v>0</v>
      </c>
      <c r="O148" s="213">
        <f>IF(F148&lt;&gt;0,'CHUNG TU'!J139,"")</f>
      </c>
      <c r="P148" s="213">
        <f>IF(LEFT('CHUNG TU'!J139,3)='CPSXKD 642_yếu tố'!$H$7,'CHUNG TU'!$L139,0)</f>
        <v>0</v>
      </c>
      <c r="Q148" s="213">
        <f>IF(P148&lt;&gt;0,'CHUNG TU'!I139,"")</f>
      </c>
    </row>
    <row r="149" spans="2:17" ht="12.75">
      <c r="B149" s="213">
        <f>IF($F149+$P149&lt;&gt;0,'CHUNG TU'!A140,"")</f>
      </c>
      <c r="C149" s="213">
        <f>IF($F149+$P149&lt;&gt;0,IF('CHUNG TU'!B140&lt;&gt;"",'CHUNG TU'!B140,IF('CHUNG TU'!C140&lt;&gt;"",'CHUNG TU'!C140,'CHUNG TU'!D140)),"")</f>
      </c>
      <c r="D149" s="213">
        <f>IF($F149+$P149&lt;&gt;0,'CHUNG TU'!F140,"")</f>
      </c>
      <c r="E149" s="213">
        <f>IF($F149+$P149&lt;&gt;0,'CHUNG TU'!H140,"")</f>
      </c>
      <c r="F149" s="213">
        <f>IF(LEFT('CHUNG TU'!I140,3)='CPSXKD 642_yếu tố'!$H$7,'CHUNG TU'!$L140,0)</f>
        <v>0</v>
      </c>
      <c r="G149" s="213">
        <f>IF(G$10='CHUNG TU'!$I140,'CHUNG TU'!$L140,0)</f>
        <v>0</v>
      </c>
      <c r="H149" s="213">
        <f>IF(H$10='CHUNG TU'!$I140,'CHUNG TU'!$L140,0)</f>
        <v>0</v>
      </c>
      <c r="I149" s="213">
        <f>IF(I$10='CHUNG TU'!$I140,'CHUNG TU'!$L140,0)</f>
        <v>0</v>
      </c>
      <c r="J149" s="213">
        <f>IF(J$10='CHUNG TU'!$I140,'CHUNG TU'!$L140,0)</f>
        <v>0</v>
      </c>
      <c r="K149" s="213">
        <f>IF(K$10='CHUNG TU'!$I140,'CHUNG TU'!$L140,0)</f>
        <v>0</v>
      </c>
      <c r="L149" s="213">
        <f>IF(L$10='CHUNG TU'!$I140,'CHUNG TU'!$L140,0)</f>
        <v>0</v>
      </c>
      <c r="M149" s="213">
        <f>IF(M$10='CHUNG TU'!$I140,'CHUNG TU'!$L140,0)</f>
        <v>0</v>
      </c>
      <c r="N149" s="213">
        <f>IF(N$10='CHUNG TU'!$I140,'CHUNG TU'!$L140,0)</f>
        <v>0</v>
      </c>
      <c r="O149" s="213">
        <f>IF(F149&lt;&gt;0,'CHUNG TU'!J140,"")</f>
      </c>
      <c r="P149" s="213">
        <f>IF(LEFT('CHUNG TU'!J140,3)='CPSXKD 642_yếu tố'!$H$7,'CHUNG TU'!$L140,0)</f>
        <v>0</v>
      </c>
      <c r="Q149" s="213">
        <f>IF(P149&lt;&gt;0,'CHUNG TU'!I140,"")</f>
      </c>
    </row>
    <row r="150" spans="2:17" ht="12.75">
      <c r="B150" s="213">
        <f>IF($F150+$P150&lt;&gt;0,'CHUNG TU'!A141,"")</f>
      </c>
      <c r="C150" s="213">
        <f>IF($F150+$P150&lt;&gt;0,IF('CHUNG TU'!B141&lt;&gt;"",'CHUNG TU'!B141,IF('CHUNG TU'!C141&lt;&gt;"",'CHUNG TU'!C141,'CHUNG TU'!D141)),"")</f>
      </c>
      <c r="D150" s="213">
        <f>IF($F150+$P150&lt;&gt;0,'CHUNG TU'!F141,"")</f>
      </c>
      <c r="E150" s="213">
        <f>IF($F150+$P150&lt;&gt;0,'CHUNG TU'!H141,"")</f>
      </c>
      <c r="F150" s="213">
        <f>IF(LEFT('CHUNG TU'!I141,3)='CPSXKD 642_yếu tố'!$H$7,'CHUNG TU'!$L141,0)</f>
        <v>0</v>
      </c>
      <c r="G150" s="213">
        <f>IF(G$10='CHUNG TU'!$I141,'CHUNG TU'!$L141,0)</f>
        <v>0</v>
      </c>
      <c r="H150" s="213">
        <f>IF(H$10='CHUNG TU'!$I141,'CHUNG TU'!$L141,0)</f>
        <v>0</v>
      </c>
      <c r="I150" s="213">
        <f>IF(I$10='CHUNG TU'!$I141,'CHUNG TU'!$L141,0)</f>
        <v>0</v>
      </c>
      <c r="J150" s="213">
        <f>IF(J$10='CHUNG TU'!$I141,'CHUNG TU'!$L141,0)</f>
        <v>0</v>
      </c>
      <c r="K150" s="213">
        <f>IF(K$10='CHUNG TU'!$I141,'CHUNG TU'!$L141,0)</f>
        <v>0</v>
      </c>
      <c r="L150" s="213">
        <f>IF(L$10='CHUNG TU'!$I141,'CHUNG TU'!$L141,0)</f>
        <v>0</v>
      </c>
      <c r="M150" s="213">
        <f>IF(M$10='CHUNG TU'!$I141,'CHUNG TU'!$L141,0)</f>
        <v>0</v>
      </c>
      <c r="N150" s="213">
        <f>IF(N$10='CHUNG TU'!$I141,'CHUNG TU'!$L141,0)</f>
        <v>0</v>
      </c>
      <c r="O150" s="213">
        <f>IF(F150&lt;&gt;0,'CHUNG TU'!J141,"")</f>
      </c>
      <c r="P150" s="213">
        <f>IF(LEFT('CHUNG TU'!J141,3)='CPSXKD 642_yếu tố'!$H$7,'CHUNG TU'!$L141,0)</f>
        <v>0</v>
      </c>
      <c r="Q150" s="213">
        <f>IF(P150&lt;&gt;0,'CHUNG TU'!I141,"")</f>
      </c>
    </row>
    <row r="151" spans="2:17" ht="12.75">
      <c r="B151" s="213">
        <f>IF($F151+$P151&lt;&gt;0,'CHUNG TU'!A142,"")</f>
      </c>
      <c r="C151" s="213">
        <f>IF($F151+$P151&lt;&gt;0,IF('CHUNG TU'!B142&lt;&gt;"",'CHUNG TU'!B142,IF('CHUNG TU'!C142&lt;&gt;"",'CHUNG TU'!C142,'CHUNG TU'!D142)),"")</f>
      </c>
      <c r="D151" s="213">
        <f>IF($F151+$P151&lt;&gt;0,'CHUNG TU'!F142,"")</f>
      </c>
      <c r="E151" s="213">
        <f>IF($F151+$P151&lt;&gt;0,'CHUNG TU'!H142,"")</f>
      </c>
      <c r="F151" s="213">
        <f>IF(LEFT('CHUNG TU'!I142,3)='CPSXKD 642_yếu tố'!$H$7,'CHUNG TU'!$L142,0)</f>
        <v>0</v>
      </c>
      <c r="G151" s="213">
        <f>IF(G$10='CHUNG TU'!$I142,'CHUNG TU'!$L142,0)</f>
        <v>0</v>
      </c>
      <c r="H151" s="213">
        <f>IF(H$10='CHUNG TU'!$I142,'CHUNG TU'!$L142,0)</f>
        <v>0</v>
      </c>
      <c r="I151" s="213">
        <f>IF(I$10='CHUNG TU'!$I142,'CHUNG TU'!$L142,0)</f>
        <v>0</v>
      </c>
      <c r="J151" s="213">
        <f>IF(J$10='CHUNG TU'!$I142,'CHUNG TU'!$L142,0)</f>
        <v>0</v>
      </c>
      <c r="K151" s="213">
        <f>IF(K$10='CHUNG TU'!$I142,'CHUNG TU'!$L142,0)</f>
        <v>0</v>
      </c>
      <c r="L151" s="213">
        <f>IF(L$10='CHUNG TU'!$I142,'CHUNG TU'!$L142,0)</f>
        <v>0</v>
      </c>
      <c r="M151" s="213">
        <f>IF(M$10='CHUNG TU'!$I142,'CHUNG TU'!$L142,0)</f>
        <v>0</v>
      </c>
      <c r="N151" s="213">
        <f>IF(N$10='CHUNG TU'!$I142,'CHUNG TU'!$L142,0)</f>
        <v>0</v>
      </c>
      <c r="O151" s="213">
        <f>IF(F151&lt;&gt;0,'CHUNG TU'!J142,"")</f>
      </c>
      <c r="P151" s="213">
        <f>IF(LEFT('CHUNG TU'!J142,3)='CPSXKD 642_yếu tố'!$H$7,'CHUNG TU'!$L142,0)</f>
        <v>0</v>
      </c>
      <c r="Q151" s="213">
        <f>IF(P151&lt;&gt;0,'CHUNG TU'!I142,"")</f>
      </c>
    </row>
    <row r="152" spans="2:17" ht="12.75">
      <c r="B152" s="213">
        <f>IF($F152+$P152&lt;&gt;0,'CHUNG TU'!A143,"")</f>
      </c>
      <c r="C152" s="213">
        <f>IF($F152+$P152&lt;&gt;0,IF('CHUNG TU'!B143&lt;&gt;"",'CHUNG TU'!B143,IF('CHUNG TU'!C143&lt;&gt;"",'CHUNG TU'!C143,'CHUNG TU'!D143)),"")</f>
      </c>
      <c r="D152" s="213">
        <f>IF($F152+$P152&lt;&gt;0,'CHUNG TU'!F143,"")</f>
      </c>
      <c r="E152" s="213">
        <f>IF($F152+$P152&lt;&gt;0,'CHUNG TU'!H143,"")</f>
      </c>
      <c r="F152" s="213">
        <f>IF(LEFT('CHUNG TU'!I143,3)='CPSXKD 642_yếu tố'!$H$7,'CHUNG TU'!$L143,0)</f>
        <v>0</v>
      </c>
      <c r="G152" s="213">
        <f>IF(G$10='CHUNG TU'!$I143,'CHUNG TU'!$L143,0)</f>
        <v>0</v>
      </c>
      <c r="H152" s="213">
        <f>IF(H$10='CHUNG TU'!$I143,'CHUNG TU'!$L143,0)</f>
        <v>0</v>
      </c>
      <c r="I152" s="213">
        <f>IF(I$10='CHUNG TU'!$I143,'CHUNG TU'!$L143,0)</f>
        <v>0</v>
      </c>
      <c r="J152" s="213">
        <f>IF(J$10='CHUNG TU'!$I143,'CHUNG TU'!$L143,0)</f>
        <v>0</v>
      </c>
      <c r="K152" s="213">
        <f>IF(K$10='CHUNG TU'!$I143,'CHUNG TU'!$L143,0)</f>
        <v>0</v>
      </c>
      <c r="L152" s="213">
        <f>IF(L$10='CHUNG TU'!$I143,'CHUNG TU'!$L143,0)</f>
        <v>0</v>
      </c>
      <c r="M152" s="213">
        <f>IF(M$10='CHUNG TU'!$I143,'CHUNG TU'!$L143,0)</f>
        <v>0</v>
      </c>
      <c r="N152" s="213">
        <f>IF(N$10='CHUNG TU'!$I143,'CHUNG TU'!$L143,0)</f>
        <v>0</v>
      </c>
      <c r="O152" s="213">
        <f>IF(F152&lt;&gt;0,'CHUNG TU'!J143,"")</f>
      </c>
      <c r="P152" s="213">
        <f>IF(LEFT('CHUNG TU'!J143,3)='CPSXKD 642_yếu tố'!$H$7,'CHUNG TU'!$L143,0)</f>
        <v>0</v>
      </c>
      <c r="Q152" s="213">
        <f>IF(P152&lt;&gt;0,'CHUNG TU'!I143,"")</f>
      </c>
    </row>
    <row r="153" spans="2:17" ht="12.75">
      <c r="B153" s="213" t="str">
        <f>IF($F153+$P153&lt;&gt;0,'CHUNG TU'!A144,"")</f>
        <v>28/10/2020</v>
      </c>
      <c r="C153" s="213" t="str">
        <f>IF($F153+$P153&lt;&gt;0,IF('CHUNG TU'!B144&lt;&gt;"",'CHUNG TU'!B144,IF('CHUNG TU'!C144&lt;&gt;"",'CHUNG TU'!C144,'CHUNG TU'!D144)),"")</f>
        <v>PX 10/007NVL</v>
      </c>
      <c r="D153" s="213" t="str">
        <f>IF($F153+$P153&lt;&gt;0,'CHUNG TU'!F144,"")</f>
        <v>28/10/2020</v>
      </c>
      <c r="E153" s="213" t="str">
        <f>IF($F153+$P153&lt;&gt;0,'CHUNG TU'!H144,"")</f>
        <v>Xuất vật liệu phụ cho QLDN</v>
      </c>
      <c r="F153" s="213">
        <f>IF(LEFT('CHUNG TU'!I144,3)='CPSXKD 642_yếu tố'!$H$7,'CHUNG TU'!$L144,0)</f>
        <v>532550</v>
      </c>
      <c r="G153" s="213">
        <f>IF(G$10='CHUNG TU'!$I144,'CHUNG TU'!$L144,0)</f>
        <v>0</v>
      </c>
      <c r="H153" s="213">
        <f>IF(H$10='CHUNG TU'!$I144,'CHUNG TU'!$L144,0)</f>
        <v>532550</v>
      </c>
      <c r="I153" s="213">
        <f>IF(I$10='CHUNG TU'!$I144,'CHUNG TU'!$L144,0)</f>
        <v>0</v>
      </c>
      <c r="J153" s="213">
        <f>IF(J$10='CHUNG TU'!$I144,'CHUNG TU'!$L144,0)</f>
        <v>0</v>
      </c>
      <c r="K153" s="213">
        <f>IF(K$10='CHUNG TU'!$I144,'CHUNG TU'!$L144,0)</f>
        <v>0</v>
      </c>
      <c r="L153" s="213">
        <f>IF(L$10='CHUNG TU'!$I144,'CHUNG TU'!$L144,0)</f>
        <v>0</v>
      </c>
      <c r="M153" s="213">
        <f>IF(M$10='CHUNG TU'!$I144,'CHUNG TU'!$L144,0)</f>
        <v>0</v>
      </c>
      <c r="N153" s="213">
        <f>IF(N$10='CHUNG TU'!$I144,'CHUNG TU'!$L144,0)</f>
        <v>0</v>
      </c>
      <c r="O153" s="213" t="str">
        <f>IF(F153&lt;&gt;0,'CHUNG TU'!J144,"")</f>
        <v>1522.B01</v>
      </c>
      <c r="P153" s="213">
        <f>IF(LEFT('CHUNG TU'!J144,3)='CPSXKD 642_yếu tố'!$H$7,'CHUNG TU'!$L144,0)</f>
        <v>0</v>
      </c>
      <c r="Q153" s="213">
        <f>IF(P153&lt;&gt;0,'CHUNG TU'!I144,"")</f>
      </c>
    </row>
    <row r="154" spans="2:17" ht="12.75">
      <c r="B154" s="213">
        <f>IF($F154+$P154&lt;&gt;0,'CHUNG TU'!A145,"")</f>
      </c>
      <c r="C154" s="213">
        <f>IF($F154+$P154&lt;&gt;0,IF('CHUNG TU'!B145&lt;&gt;"",'CHUNG TU'!B145,IF('CHUNG TU'!C145&lt;&gt;"",'CHUNG TU'!C145,'CHUNG TU'!D145)),"")</f>
      </c>
      <c r="D154" s="213">
        <f>IF($F154+$P154&lt;&gt;0,'CHUNG TU'!F145,"")</f>
      </c>
      <c r="E154" s="213">
        <f>IF($F154+$P154&lt;&gt;0,'CHUNG TU'!H145,"")</f>
      </c>
      <c r="F154" s="213">
        <f>IF(LEFT('CHUNG TU'!I145,3)='CPSXKD 642_yếu tố'!$H$7,'CHUNG TU'!$L145,0)</f>
        <v>0</v>
      </c>
      <c r="G154" s="213">
        <f>IF(G$10='CHUNG TU'!$I145,'CHUNG TU'!$L145,0)</f>
        <v>0</v>
      </c>
      <c r="H154" s="213">
        <f>IF(H$10='CHUNG TU'!$I145,'CHUNG TU'!$L145,0)</f>
        <v>0</v>
      </c>
      <c r="I154" s="213">
        <f>IF(I$10='CHUNG TU'!$I145,'CHUNG TU'!$L145,0)</f>
        <v>0</v>
      </c>
      <c r="J154" s="213">
        <f>IF(J$10='CHUNG TU'!$I145,'CHUNG TU'!$L145,0)</f>
        <v>0</v>
      </c>
      <c r="K154" s="213">
        <f>IF(K$10='CHUNG TU'!$I145,'CHUNG TU'!$L145,0)</f>
        <v>0</v>
      </c>
      <c r="L154" s="213">
        <f>IF(L$10='CHUNG TU'!$I145,'CHUNG TU'!$L145,0)</f>
        <v>0</v>
      </c>
      <c r="M154" s="213">
        <f>IF(M$10='CHUNG TU'!$I145,'CHUNG TU'!$L145,0)</f>
        <v>0</v>
      </c>
      <c r="N154" s="213">
        <f>IF(N$10='CHUNG TU'!$I145,'CHUNG TU'!$L145,0)</f>
        <v>0</v>
      </c>
      <c r="O154" s="213">
        <f>IF(F154&lt;&gt;0,'CHUNG TU'!J145,"")</f>
      </c>
      <c r="P154" s="213">
        <f>IF(LEFT('CHUNG TU'!J145,3)='CPSXKD 642_yếu tố'!$H$7,'CHUNG TU'!$L145,0)</f>
        <v>0</v>
      </c>
      <c r="Q154" s="213">
        <f>IF(P154&lt;&gt;0,'CHUNG TU'!I145,"")</f>
      </c>
    </row>
    <row r="155" spans="2:17" ht="12.75">
      <c r="B155" s="213">
        <f>IF($F155+$P155&lt;&gt;0,'CHUNG TU'!A146,"")</f>
      </c>
      <c r="C155" s="213">
        <f>IF($F155+$P155&lt;&gt;0,IF('CHUNG TU'!B146&lt;&gt;"",'CHUNG TU'!B146,IF('CHUNG TU'!C146&lt;&gt;"",'CHUNG TU'!C146,'CHUNG TU'!D146)),"")</f>
      </c>
      <c r="D155" s="213">
        <f>IF($F155+$P155&lt;&gt;0,'CHUNG TU'!F146,"")</f>
      </c>
      <c r="E155" s="213">
        <f>IF($F155+$P155&lt;&gt;0,'CHUNG TU'!H146,"")</f>
      </c>
      <c r="F155" s="213">
        <f>IF(LEFT('CHUNG TU'!I146,3)='CPSXKD 642_yếu tố'!$H$7,'CHUNG TU'!$L146,0)</f>
        <v>0</v>
      </c>
      <c r="G155" s="213">
        <f>IF(G$10='CHUNG TU'!$I146,'CHUNG TU'!$L146,0)</f>
        <v>0</v>
      </c>
      <c r="H155" s="213">
        <f>IF(H$10='CHUNG TU'!$I146,'CHUNG TU'!$L146,0)</f>
        <v>0</v>
      </c>
      <c r="I155" s="213">
        <f>IF(I$10='CHUNG TU'!$I146,'CHUNG TU'!$L146,0)</f>
        <v>0</v>
      </c>
      <c r="J155" s="213">
        <f>IF(J$10='CHUNG TU'!$I146,'CHUNG TU'!$L146,0)</f>
        <v>0</v>
      </c>
      <c r="K155" s="213">
        <f>IF(K$10='CHUNG TU'!$I146,'CHUNG TU'!$L146,0)</f>
        <v>0</v>
      </c>
      <c r="L155" s="213">
        <f>IF(L$10='CHUNG TU'!$I146,'CHUNG TU'!$L146,0)</f>
        <v>0</v>
      </c>
      <c r="M155" s="213">
        <f>IF(M$10='CHUNG TU'!$I146,'CHUNG TU'!$L146,0)</f>
        <v>0</v>
      </c>
      <c r="N155" s="213">
        <f>IF(N$10='CHUNG TU'!$I146,'CHUNG TU'!$L146,0)</f>
        <v>0</v>
      </c>
      <c r="O155" s="213">
        <f>IF(F155&lt;&gt;0,'CHUNG TU'!J146,"")</f>
      </c>
      <c r="P155" s="213">
        <f>IF(LEFT('CHUNG TU'!J146,3)='CPSXKD 642_yếu tố'!$H$7,'CHUNG TU'!$L146,0)</f>
        <v>0</v>
      </c>
      <c r="Q155" s="213">
        <f>IF(P155&lt;&gt;0,'CHUNG TU'!I146,"")</f>
      </c>
    </row>
    <row r="156" spans="2:17" ht="12.75">
      <c r="B156" s="213" t="str">
        <f>IF($F156+$P156&lt;&gt;0,'CHUNG TU'!A147,"")</f>
        <v>28/10/2020</v>
      </c>
      <c r="C156" s="213" t="str">
        <f>IF($F156+$P156&lt;&gt;0,IF('CHUNG TU'!B147&lt;&gt;"",'CHUNG TU'!B147,IF('CHUNG TU'!C147&lt;&gt;"",'CHUNG TU'!C147,'CHUNG TU'!D147)),"")</f>
        <v>PX 10/008NVL</v>
      </c>
      <c r="D156" s="213" t="str">
        <f>IF($F156+$P156&lt;&gt;0,'CHUNG TU'!F147,"")</f>
        <v>28/10/2020</v>
      </c>
      <c r="E156" s="213" t="str">
        <f>IF($F156+$P156&lt;&gt;0,'CHUNG TU'!H147,"")</f>
        <v>Xuất nhiên liệu cho QLDN</v>
      </c>
      <c r="F156" s="213">
        <f>IF(LEFT('CHUNG TU'!I147,3)='CPSXKD 642_yếu tố'!$H$7,'CHUNG TU'!$L147,0)</f>
        <v>982260</v>
      </c>
      <c r="G156" s="213">
        <f>IF(G$10='CHUNG TU'!$I147,'CHUNG TU'!$L147,0)</f>
        <v>0</v>
      </c>
      <c r="H156" s="213">
        <f>IF(H$10='CHUNG TU'!$I147,'CHUNG TU'!$L147,0)</f>
        <v>982260</v>
      </c>
      <c r="I156" s="213">
        <f>IF(I$10='CHUNG TU'!$I147,'CHUNG TU'!$L147,0)</f>
        <v>0</v>
      </c>
      <c r="J156" s="213">
        <f>IF(J$10='CHUNG TU'!$I147,'CHUNG TU'!$L147,0)</f>
        <v>0</v>
      </c>
      <c r="K156" s="213">
        <f>IF(K$10='CHUNG TU'!$I147,'CHUNG TU'!$L147,0)</f>
        <v>0</v>
      </c>
      <c r="L156" s="213">
        <f>IF(L$10='CHUNG TU'!$I147,'CHUNG TU'!$L147,0)</f>
        <v>0</v>
      </c>
      <c r="M156" s="213">
        <f>IF(M$10='CHUNG TU'!$I147,'CHUNG TU'!$L147,0)</f>
        <v>0</v>
      </c>
      <c r="N156" s="213">
        <f>IF(N$10='CHUNG TU'!$I147,'CHUNG TU'!$L147,0)</f>
        <v>0</v>
      </c>
      <c r="O156" s="213" t="str">
        <f>IF(F156&lt;&gt;0,'CHUNG TU'!J147,"")</f>
        <v>1523.C01</v>
      </c>
      <c r="P156" s="213">
        <f>IF(LEFT('CHUNG TU'!J147,3)='CPSXKD 642_yếu tố'!$H$7,'CHUNG TU'!$L147,0)</f>
        <v>0</v>
      </c>
      <c r="Q156" s="213">
        <f>IF(P156&lt;&gt;0,'CHUNG TU'!I147,"")</f>
      </c>
    </row>
    <row r="157" spans="2:17" ht="12.75">
      <c r="B157" s="213">
        <f>IF($F157+$P157&lt;&gt;0,'CHUNG TU'!A148,"")</f>
      </c>
      <c r="C157" s="213">
        <f>IF($F157+$P157&lt;&gt;0,IF('CHUNG TU'!B148&lt;&gt;"",'CHUNG TU'!B148,IF('CHUNG TU'!C148&lt;&gt;"",'CHUNG TU'!C148,'CHUNG TU'!D148)),"")</f>
      </c>
      <c r="D157" s="213">
        <f>IF($F157+$P157&lt;&gt;0,'CHUNG TU'!F148,"")</f>
      </c>
      <c r="E157" s="213">
        <f>IF($F157+$P157&lt;&gt;0,'CHUNG TU'!H148,"")</f>
      </c>
      <c r="F157" s="213">
        <f>IF(LEFT('CHUNG TU'!I148,3)='CPSXKD 642_yếu tố'!$H$7,'CHUNG TU'!$L148,0)</f>
        <v>0</v>
      </c>
      <c r="G157" s="213">
        <f>IF(G$10='CHUNG TU'!$I148,'CHUNG TU'!$L148,0)</f>
        <v>0</v>
      </c>
      <c r="H157" s="213">
        <f>IF(H$10='CHUNG TU'!$I148,'CHUNG TU'!$L148,0)</f>
        <v>0</v>
      </c>
      <c r="I157" s="213">
        <f>IF(I$10='CHUNG TU'!$I148,'CHUNG TU'!$L148,0)</f>
        <v>0</v>
      </c>
      <c r="J157" s="213">
        <f>IF(J$10='CHUNG TU'!$I148,'CHUNG TU'!$L148,0)</f>
        <v>0</v>
      </c>
      <c r="K157" s="213">
        <f>IF(K$10='CHUNG TU'!$I148,'CHUNG TU'!$L148,0)</f>
        <v>0</v>
      </c>
      <c r="L157" s="213">
        <f>IF(L$10='CHUNG TU'!$I148,'CHUNG TU'!$L148,0)</f>
        <v>0</v>
      </c>
      <c r="M157" s="213">
        <f>IF(M$10='CHUNG TU'!$I148,'CHUNG TU'!$L148,0)</f>
        <v>0</v>
      </c>
      <c r="N157" s="213">
        <f>IF(N$10='CHUNG TU'!$I148,'CHUNG TU'!$L148,0)</f>
        <v>0</v>
      </c>
      <c r="O157" s="213">
        <f>IF(F157&lt;&gt;0,'CHUNG TU'!J148,"")</f>
      </c>
      <c r="P157" s="213">
        <f>IF(LEFT('CHUNG TU'!J148,3)='CPSXKD 642_yếu tố'!$H$7,'CHUNG TU'!$L148,0)</f>
        <v>0</v>
      </c>
      <c r="Q157" s="213">
        <f>IF(P157&lt;&gt;0,'CHUNG TU'!I148,"")</f>
      </c>
    </row>
    <row r="158" spans="2:17" ht="12.75">
      <c r="B158" s="213">
        <f>IF($F158+$P158&lt;&gt;0,'CHUNG TU'!A149,"")</f>
      </c>
      <c r="C158" s="213">
        <f>IF($F158+$P158&lt;&gt;0,IF('CHUNG TU'!B149&lt;&gt;"",'CHUNG TU'!B149,IF('CHUNG TU'!C149&lt;&gt;"",'CHUNG TU'!C149,'CHUNG TU'!D149)),"")</f>
      </c>
      <c r="D158" s="213">
        <f>IF($F158+$P158&lt;&gt;0,'CHUNG TU'!F149,"")</f>
      </c>
      <c r="E158" s="213">
        <f>IF($F158+$P158&lt;&gt;0,'CHUNG TU'!H149,"")</f>
      </c>
      <c r="F158" s="213">
        <f>IF(LEFT('CHUNG TU'!I149,3)='CPSXKD 642_yếu tố'!$H$7,'CHUNG TU'!$L149,0)</f>
        <v>0</v>
      </c>
      <c r="G158" s="213">
        <f>IF(G$10='CHUNG TU'!$I149,'CHUNG TU'!$L149,0)</f>
        <v>0</v>
      </c>
      <c r="H158" s="213">
        <f>IF(H$10='CHUNG TU'!$I149,'CHUNG TU'!$L149,0)</f>
        <v>0</v>
      </c>
      <c r="I158" s="213">
        <f>IF(I$10='CHUNG TU'!$I149,'CHUNG TU'!$L149,0)</f>
        <v>0</v>
      </c>
      <c r="J158" s="213">
        <f>IF(J$10='CHUNG TU'!$I149,'CHUNG TU'!$L149,0)</f>
        <v>0</v>
      </c>
      <c r="K158" s="213">
        <f>IF(K$10='CHUNG TU'!$I149,'CHUNG TU'!$L149,0)</f>
        <v>0</v>
      </c>
      <c r="L158" s="213">
        <f>IF(L$10='CHUNG TU'!$I149,'CHUNG TU'!$L149,0)</f>
        <v>0</v>
      </c>
      <c r="M158" s="213">
        <f>IF(M$10='CHUNG TU'!$I149,'CHUNG TU'!$L149,0)</f>
        <v>0</v>
      </c>
      <c r="N158" s="213">
        <f>IF(N$10='CHUNG TU'!$I149,'CHUNG TU'!$L149,0)</f>
        <v>0</v>
      </c>
      <c r="O158" s="213">
        <f>IF(F158&lt;&gt;0,'CHUNG TU'!J149,"")</f>
      </c>
      <c r="P158" s="213">
        <f>IF(LEFT('CHUNG TU'!J149,3)='CPSXKD 642_yếu tố'!$H$7,'CHUNG TU'!$L149,0)</f>
        <v>0</v>
      </c>
      <c r="Q158" s="213">
        <f>IF(P158&lt;&gt;0,'CHUNG TU'!I149,"")</f>
      </c>
    </row>
    <row r="159" spans="2:17" ht="12.75">
      <c r="B159" s="213" t="str">
        <f>IF($F159+$P159&lt;&gt;0,'CHUNG TU'!A150,"")</f>
        <v>28/10/2020</v>
      </c>
      <c r="C159" s="213" t="str">
        <f>IF($F159+$P159&lt;&gt;0,IF('CHUNG TU'!B150&lt;&gt;"",'CHUNG TU'!B150,IF('CHUNG TU'!C150&lt;&gt;"",'CHUNG TU'!C150,'CHUNG TU'!D150)),"")</f>
        <v>PX 10/009NVL</v>
      </c>
      <c r="D159" s="213" t="str">
        <f>IF($F159+$P159&lt;&gt;0,'CHUNG TU'!F150,"")</f>
        <v>28/10/2020</v>
      </c>
      <c r="E159" s="213" t="str">
        <f>IF($F159+$P159&lt;&gt;0,'CHUNG TU'!H150,"")</f>
        <v>Xuất PTTT sửa chữa thường xuyên TSCĐ</v>
      </c>
      <c r="F159" s="213">
        <f>IF(LEFT('CHUNG TU'!I150,3)='CPSXKD 642_yếu tố'!$H$7,'CHUNG TU'!$L150,0)</f>
        <v>72760</v>
      </c>
      <c r="G159" s="213">
        <f>IF(G$10='CHUNG TU'!$I150,'CHUNG TU'!$L150,0)</f>
        <v>0</v>
      </c>
      <c r="H159" s="213">
        <f>IF(H$10='CHUNG TU'!$I150,'CHUNG TU'!$L150,0)</f>
        <v>72760</v>
      </c>
      <c r="I159" s="213">
        <f>IF(I$10='CHUNG TU'!$I150,'CHUNG TU'!$L150,0)</f>
        <v>0</v>
      </c>
      <c r="J159" s="213">
        <f>IF(J$10='CHUNG TU'!$I150,'CHUNG TU'!$L150,0)</f>
        <v>0</v>
      </c>
      <c r="K159" s="213">
        <f>IF(K$10='CHUNG TU'!$I150,'CHUNG TU'!$L150,0)</f>
        <v>0</v>
      </c>
      <c r="L159" s="213">
        <f>IF(L$10='CHUNG TU'!$I150,'CHUNG TU'!$L150,0)</f>
        <v>0</v>
      </c>
      <c r="M159" s="213">
        <f>IF(M$10='CHUNG TU'!$I150,'CHUNG TU'!$L150,0)</f>
        <v>0</v>
      </c>
      <c r="N159" s="213">
        <f>IF(N$10='CHUNG TU'!$I150,'CHUNG TU'!$L150,0)</f>
        <v>0</v>
      </c>
      <c r="O159" s="213" t="str">
        <f>IF(F159&lt;&gt;0,'CHUNG TU'!J150,"")</f>
        <v>1524.D01</v>
      </c>
      <c r="P159" s="213">
        <f>IF(LEFT('CHUNG TU'!J150,3)='CPSXKD 642_yếu tố'!$H$7,'CHUNG TU'!$L150,0)</f>
        <v>0</v>
      </c>
      <c r="Q159" s="213">
        <f>IF(P159&lt;&gt;0,'CHUNG TU'!I150,"")</f>
      </c>
    </row>
    <row r="160" spans="2:17" ht="12.75">
      <c r="B160" s="213">
        <f>IF($F160+$P160&lt;&gt;0,'CHUNG TU'!A151,"")</f>
      </c>
      <c r="C160" s="213">
        <f>IF($F160+$P160&lt;&gt;0,IF('CHUNG TU'!B151&lt;&gt;"",'CHUNG TU'!B151,IF('CHUNG TU'!C151&lt;&gt;"",'CHUNG TU'!C151,'CHUNG TU'!D151)),"")</f>
      </c>
      <c r="D160" s="213">
        <f>IF($F160+$P160&lt;&gt;0,'CHUNG TU'!F151,"")</f>
      </c>
      <c r="E160" s="213">
        <f>IF($F160+$P160&lt;&gt;0,'CHUNG TU'!H151,"")</f>
      </c>
      <c r="F160" s="213">
        <f>IF(LEFT('CHUNG TU'!I151,3)='CPSXKD 642_yếu tố'!$H$7,'CHUNG TU'!$L151,0)</f>
        <v>0</v>
      </c>
      <c r="G160" s="213">
        <f>IF(G$10='CHUNG TU'!$I151,'CHUNG TU'!$L151,0)</f>
        <v>0</v>
      </c>
      <c r="H160" s="213">
        <f>IF(H$10='CHUNG TU'!$I151,'CHUNG TU'!$L151,0)</f>
        <v>0</v>
      </c>
      <c r="I160" s="213">
        <f>IF(I$10='CHUNG TU'!$I151,'CHUNG TU'!$L151,0)</f>
        <v>0</v>
      </c>
      <c r="J160" s="213">
        <f>IF(J$10='CHUNG TU'!$I151,'CHUNG TU'!$L151,0)</f>
        <v>0</v>
      </c>
      <c r="K160" s="213">
        <f>IF(K$10='CHUNG TU'!$I151,'CHUNG TU'!$L151,0)</f>
        <v>0</v>
      </c>
      <c r="L160" s="213">
        <f>IF(L$10='CHUNG TU'!$I151,'CHUNG TU'!$L151,0)</f>
        <v>0</v>
      </c>
      <c r="M160" s="213">
        <f>IF(M$10='CHUNG TU'!$I151,'CHUNG TU'!$L151,0)</f>
        <v>0</v>
      </c>
      <c r="N160" s="213">
        <f>IF(N$10='CHUNG TU'!$I151,'CHUNG TU'!$L151,0)</f>
        <v>0</v>
      </c>
      <c r="O160" s="213">
        <f>IF(F160&lt;&gt;0,'CHUNG TU'!J151,"")</f>
      </c>
      <c r="P160" s="213">
        <f>IF(LEFT('CHUNG TU'!J151,3)='CPSXKD 642_yếu tố'!$H$7,'CHUNG TU'!$L151,0)</f>
        <v>0</v>
      </c>
      <c r="Q160" s="213">
        <f>IF(P160&lt;&gt;0,'CHUNG TU'!I151,"")</f>
      </c>
    </row>
    <row r="161" spans="2:17" ht="12.75">
      <c r="B161" s="213">
        <f>IF($F161+$P161&lt;&gt;0,'CHUNG TU'!A152,"")</f>
      </c>
      <c r="C161" s="213">
        <f>IF($F161+$P161&lt;&gt;0,IF('CHUNG TU'!B152&lt;&gt;"",'CHUNG TU'!B152,IF('CHUNG TU'!C152&lt;&gt;"",'CHUNG TU'!C152,'CHUNG TU'!D152)),"")</f>
      </c>
      <c r="D161" s="213">
        <f>IF($F161+$P161&lt;&gt;0,'CHUNG TU'!F152,"")</f>
      </c>
      <c r="E161" s="213">
        <f>IF($F161+$P161&lt;&gt;0,'CHUNG TU'!H152,"")</f>
      </c>
      <c r="F161" s="213">
        <f>IF(LEFT('CHUNG TU'!I152,3)='CPSXKD 642_yếu tố'!$H$7,'CHUNG TU'!$L152,0)</f>
        <v>0</v>
      </c>
      <c r="G161" s="213">
        <f>IF(G$10='CHUNG TU'!$I152,'CHUNG TU'!$L152,0)</f>
        <v>0</v>
      </c>
      <c r="H161" s="213">
        <f>IF(H$10='CHUNG TU'!$I152,'CHUNG TU'!$L152,0)</f>
        <v>0</v>
      </c>
      <c r="I161" s="213">
        <f>IF(I$10='CHUNG TU'!$I152,'CHUNG TU'!$L152,0)</f>
        <v>0</v>
      </c>
      <c r="J161" s="213">
        <f>IF(J$10='CHUNG TU'!$I152,'CHUNG TU'!$L152,0)</f>
        <v>0</v>
      </c>
      <c r="K161" s="213">
        <f>IF(K$10='CHUNG TU'!$I152,'CHUNG TU'!$L152,0)</f>
        <v>0</v>
      </c>
      <c r="L161" s="213">
        <f>IF(L$10='CHUNG TU'!$I152,'CHUNG TU'!$L152,0)</f>
        <v>0</v>
      </c>
      <c r="M161" s="213">
        <f>IF(M$10='CHUNG TU'!$I152,'CHUNG TU'!$L152,0)</f>
        <v>0</v>
      </c>
      <c r="N161" s="213">
        <f>IF(N$10='CHUNG TU'!$I152,'CHUNG TU'!$L152,0)</f>
        <v>0</v>
      </c>
      <c r="O161" s="213">
        <f>IF(F161&lt;&gt;0,'CHUNG TU'!J152,"")</f>
      </c>
      <c r="P161" s="213">
        <f>IF(LEFT('CHUNG TU'!J152,3)='CPSXKD 642_yếu tố'!$H$7,'CHUNG TU'!$L152,0)</f>
        <v>0</v>
      </c>
      <c r="Q161" s="213">
        <f>IF(P161&lt;&gt;0,'CHUNG TU'!I152,"")</f>
      </c>
    </row>
    <row r="162" spans="2:17" ht="12.75">
      <c r="B162" s="213" t="str">
        <f>IF($F162+$P162&lt;&gt;0,'CHUNG TU'!A153,"")</f>
        <v>28/10/2020</v>
      </c>
      <c r="C162" s="213" t="str">
        <f>IF($F162+$P162&lt;&gt;0,IF('CHUNG TU'!B153&lt;&gt;"",'CHUNG TU'!B153,IF('CHUNG TU'!C153&lt;&gt;"",'CHUNG TU'!C153,'CHUNG TU'!D153)),"")</f>
        <v>PX 10/04CCDC</v>
      </c>
      <c r="D162" s="213" t="str">
        <f>IF($F162+$P162&lt;&gt;0,'CHUNG TU'!F153,"")</f>
        <v>28/10/2020</v>
      </c>
      <c r="E162" s="213" t="str">
        <f>IF($F162+$P162&lt;&gt;0,'CHUNG TU'!H153,"")</f>
        <v>Xuất CCDC cho QLDN (phân bổ 1 lần) </v>
      </c>
      <c r="F162" s="213">
        <f>IF(LEFT('CHUNG TU'!I153,3)='CPSXKD 642_yếu tố'!$H$7,'CHUNG TU'!$L153,0)</f>
        <v>1470000</v>
      </c>
      <c r="G162" s="213">
        <f>IF(G$10='CHUNG TU'!$I153,'CHUNG TU'!$L153,0)</f>
        <v>0</v>
      </c>
      <c r="H162" s="213">
        <f>IF(H$10='CHUNG TU'!$I153,'CHUNG TU'!$L153,0)</f>
        <v>0</v>
      </c>
      <c r="I162" s="213">
        <f>IF(I$10='CHUNG TU'!$I153,'CHUNG TU'!$L153,0)</f>
        <v>1470000</v>
      </c>
      <c r="J162" s="213">
        <f>IF(J$10='CHUNG TU'!$I153,'CHUNG TU'!$L153,0)</f>
        <v>0</v>
      </c>
      <c r="K162" s="213">
        <f>IF(K$10='CHUNG TU'!$I153,'CHUNG TU'!$L153,0)</f>
        <v>0</v>
      </c>
      <c r="L162" s="213">
        <f>IF(L$10='CHUNG TU'!$I153,'CHUNG TU'!$L153,0)</f>
        <v>0</v>
      </c>
      <c r="M162" s="213">
        <f>IF(M$10='CHUNG TU'!$I153,'CHUNG TU'!$L153,0)</f>
        <v>0</v>
      </c>
      <c r="N162" s="213">
        <f>IF(N$10='CHUNG TU'!$I153,'CHUNG TU'!$L153,0)</f>
        <v>0</v>
      </c>
      <c r="O162" s="213" t="str">
        <f>IF(F162&lt;&gt;0,'CHUNG TU'!J153,"")</f>
        <v>1531.X01</v>
      </c>
      <c r="P162" s="213">
        <f>IF(LEFT('CHUNG TU'!J153,3)='CPSXKD 642_yếu tố'!$H$7,'CHUNG TU'!$L153,0)</f>
        <v>0</v>
      </c>
      <c r="Q162" s="213">
        <f>IF(P162&lt;&gt;0,'CHUNG TU'!I153,"")</f>
      </c>
    </row>
    <row r="163" spans="2:17" ht="12.75">
      <c r="B163" s="213">
        <f>IF($F163+$P163&lt;&gt;0,'CHUNG TU'!A154,"")</f>
      </c>
      <c r="C163" s="213">
        <f>IF($F163+$P163&lt;&gt;0,IF('CHUNG TU'!B154&lt;&gt;"",'CHUNG TU'!B154,IF('CHUNG TU'!C154&lt;&gt;"",'CHUNG TU'!C154,'CHUNG TU'!D154)),"")</f>
      </c>
      <c r="D163" s="213">
        <f>IF($F163+$P163&lt;&gt;0,'CHUNG TU'!F154,"")</f>
      </c>
      <c r="E163" s="213">
        <f>IF($F163+$P163&lt;&gt;0,'CHUNG TU'!H154,"")</f>
      </c>
      <c r="F163" s="213">
        <f>IF(LEFT('CHUNG TU'!I154,3)='CPSXKD 642_yếu tố'!$H$7,'CHUNG TU'!$L154,0)</f>
        <v>0</v>
      </c>
      <c r="G163" s="213">
        <f>IF(G$10='CHUNG TU'!$I154,'CHUNG TU'!$L154,0)</f>
        <v>0</v>
      </c>
      <c r="H163" s="213">
        <f>IF(H$10='CHUNG TU'!$I154,'CHUNG TU'!$L154,0)</f>
        <v>0</v>
      </c>
      <c r="I163" s="213">
        <f>IF(I$10='CHUNG TU'!$I154,'CHUNG TU'!$L154,0)</f>
        <v>0</v>
      </c>
      <c r="J163" s="213">
        <f>IF(J$10='CHUNG TU'!$I154,'CHUNG TU'!$L154,0)</f>
        <v>0</v>
      </c>
      <c r="K163" s="213">
        <f>IF(K$10='CHUNG TU'!$I154,'CHUNG TU'!$L154,0)</f>
        <v>0</v>
      </c>
      <c r="L163" s="213">
        <f>IF(L$10='CHUNG TU'!$I154,'CHUNG TU'!$L154,0)</f>
        <v>0</v>
      </c>
      <c r="M163" s="213">
        <f>IF(M$10='CHUNG TU'!$I154,'CHUNG TU'!$L154,0)</f>
        <v>0</v>
      </c>
      <c r="N163" s="213">
        <f>IF(N$10='CHUNG TU'!$I154,'CHUNG TU'!$L154,0)</f>
        <v>0</v>
      </c>
      <c r="O163" s="213">
        <f>IF(F163&lt;&gt;0,'CHUNG TU'!J154,"")</f>
      </c>
      <c r="P163" s="213">
        <f>IF(LEFT('CHUNG TU'!J154,3)='CPSXKD 642_yếu tố'!$H$7,'CHUNG TU'!$L154,0)</f>
        <v>0</v>
      </c>
      <c r="Q163" s="213">
        <f>IF(P163&lt;&gt;0,'CHUNG TU'!I154,"")</f>
      </c>
    </row>
    <row r="164" spans="2:17" ht="12.75">
      <c r="B164" s="213">
        <f>IF($F164+$P164&lt;&gt;0,'CHUNG TU'!A155,"")</f>
      </c>
      <c r="C164" s="213">
        <f>IF($F164+$P164&lt;&gt;0,IF('CHUNG TU'!B155&lt;&gt;"",'CHUNG TU'!B155,IF('CHUNG TU'!C155&lt;&gt;"",'CHUNG TU'!C155,'CHUNG TU'!D155)),"")</f>
      </c>
      <c r="D164" s="213">
        <f>IF($F164+$P164&lt;&gt;0,'CHUNG TU'!F155,"")</f>
      </c>
      <c r="E164" s="213">
        <f>IF($F164+$P164&lt;&gt;0,'CHUNG TU'!H155,"")</f>
      </c>
      <c r="F164" s="213">
        <f>IF(LEFT('CHUNG TU'!I155,3)='CPSXKD 642_yếu tố'!$H$7,'CHUNG TU'!$L155,0)</f>
        <v>0</v>
      </c>
      <c r="G164" s="213">
        <f>IF(G$10='CHUNG TU'!$I155,'CHUNG TU'!$L155,0)</f>
        <v>0</v>
      </c>
      <c r="H164" s="213">
        <f>IF(H$10='CHUNG TU'!$I155,'CHUNG TU'!$L155,0)</f>
        <v>0</v>
      </c>
      <c r="I164" s="213">
        <f>IF(I$10='CHUNG TU'!$I155,'CHUNG TU'!$L155,0)</f>
        <v>0</v>
      </c>
      <c r="J164" s="213">
        <f>IF(J$10='CHUNG TU'!$I155,'CHUNG TU'!$L155,0)</f>
        <v>0</v>
      </c>
      <c r="K164" s="213">
        <f>IF(K$10='CHUNG TU'!$I155,'CHUNG TU'!$L155,0)</f>
        <v>0</v>
      </c>
      <c r="L164" s="213">
        <f>IF(L$10='CHUNG TU'!$I155,'CHUNG TU'!$L155,0)</f>
        <v>0</v>
      </c>
      <c r="M164" s="213">
        <f>IF(M$10='CHUNG TU'!$I155,'CHUNG TU'!$L155,0)</f>
        <v>0</v>
      </c>
      <c r="N164" s="213">
        <f>IF(N$10='CHUNG TU'!$I155,'CHUNG TU'!$L155,0)</f>
        <v>0</v>
      </c>
      <c r="O164" s="213">
        <f>IF(F164&lt;&gt;0,'CHUNG TU'!J155,"")</f>
      </c>
      <c r="P164" s="213">
        <f>IF(LEFT('CHUNG TU'!J155,3)='CPSXKD 642_yếu tố'!$H$7,'CHUNG TU'!$L155,0)</f>
        <v>0</v>
      </c>
      <c r="Q164" s="213">
        <f>IF(P164&lt;&gt;0,'CHUNG TU'!I155,"")</f>
      </c>
    </row>
    <row r="165" spans="2:17" ht="12.75">
      <c r="B165" s="213">
        <f>IF($F165+$P165&lt;&gt;0,'CHUNG TU'!A156,"")</f>
      </c>
      <c r="C165" s="213">
        <f>IF($F165+$P165&lt;&gt;0,IF('CHUNG TU'!B156&lt;&gt;"",'CHUNG TU'!B156,IF('CHUNG TU'!C156&lt;&gt;"",'CHUNG TU'!C156,'CHUNG TU'!D156)),"")</f>
      </c>
      <c r="D165" s="213">
        <f>IF($F165+$P165&lt;&gt;0,'CHUNG TU'!F156,"")</f>
      </c>
      <c r="E165" s="213">
        <f>IF($F165+$P165&lt;&gt;0,'CHUNG TU'!H156,"")</f>
      </c>
      <c r="F165" s="213">
        <f>IF(LEFT('CHUNG TU'!I156,3)='CPSXKD 642_yếu tố'!$H$7,'CHUNG TU'!$L156,0)</f>
        <v>0</v>
      </c>
      <c r="G165" s="213">
        <f>IF(G$10='CHUNG TU'!$I156,'CHUNG TU'!$L156,0)</f>
        <v>0</v>
      </c>
      <c r="H165" s="213">
        <f>IF(H$10='CHUNG TU'!$I156,'CHUNG TU'!$L156,0)</f>
        <v>0</v>
      </c>
      <c r="I165" s="213">
        <f>IF(I$10='CHUNG TU'!$I156,'CHUNG TU'!$L156,0)</f>
        <v>0</v>
      </c>
      <c r="J165" s="213">
        <f>IF(J$10='CHUNG TU'!$I156,'CHUNG TU'!$L156,0)</f>
        <v>0</v>
      </c>
      <c r="K165" s="213">
        <f>IF(K$10='CHUNG TU'!$I156,'CHUNG TU'!$L156,0)</f>
        <v>0</v>
      </c>
      <c r="L165" s="213">
        <f>IF(L$10='CHUNG TU'!$I156,'CHUNG TU'!$L156,0)</f>
        <v>0</v>
      </c>
      <c r="M165" s="213">
        <f>IF(M$10='CHUNG TU'!$I156,'CHUNG TU'!$L156,0)</f>
        <v>0</v>
      </c>
      <c r="N165" s="213">
        <f>IF(N$10='CHUNG TU'!$I156,'CHUNG TU'!$L156,0)</f>
        <v>0</v>
      </c>
      <c r="O165" s="213">
        <f>IF(F165&lt;&gt;0,'CHUNG TU'!J156,"")</f>
      </c>
      <c r="P165" s="213">
        <f>IF(LEFT('CHUNG TU'!J156,3)='CPSXKD 642_yếu tố'!$H$7,'CHUNG TU'!$L156,0)</f>
        <v>0</v>
      </c>
      <c r="Q165" s="213">
        <f>IF(P165&lt;&gt;0,'CHUNG TU'!I156,"")</f>
      </c>
    </row>
    <row r="166" spans="2:17" ht="12.75">
      <c r="B166" s="213">
        <f>IF($F166+$P166&lt;&gt;0,'CHUNG TU'!A157,"")</f>
      </c>
      <c r="C166" s="213">
        <f>IF($F166+$P166&lt;&gt;0,IF('CHUNG TU'!B157&lt;&gt;"",'CHUNG TU'!B157,IF('CHUNG TU'!C157&lt;&gt;"",'CHUNG TU'!C157,'CHUNG TU'!D157)),"")</f>
      </c>
      <c r="D166" s="213">
        <f>IF($F166+$P166&lt;&gt;0,'CHUNG TU'!F157,"")</f>
      </c>
      <c r="E166" s="213">
        <f>IF($F166+$P166&lt;&gt;0,'CHUNG TU'!H157,"")</f>
      </c>
      <c r="F166" s="213">
        <f>IF(LEFT('CHUNG TU'!I157,3)='CPSXKD 642_yếu tố'!$H$7,'CHUNG TU'!$L157,0)</f>
        <v>0</v>
      </c>
      <c r="G166" s="213">
        <f>IF(G$10='CHUNG TU'!$I157,'CHUNG TU'!$L157,0)</f>
        <v>0</v>
      </c>
      <c r="H166" s="213">
        <f>IF(H$10='CHUNG TU'!$I157,'CHUNG TU'!$L157,0)</f>
        <v>0</v>
      </c>
      <c r="I166" s="213">
        <f>IF(I$10='CHUNG TU'!$I157,'CHUNG TU'!$L157,0)</f>
        <v>0</v>
      </c>
      <c r="J166" s="213">
        <f>IF(J$10='CHUNG TU'!$I157,'CHUNG TU'!$L157,0)</f>
        <v>0</v>
      </c>
      <c r="K166" s="213">
        <f>IF(K$10='CHUNG TU'!$I157,'CHUNG TU'!$L157,0)</f>
        <v>0</v>
      </c>
      <c r="L166" s="213">
        <f>IF(L$10='CHUNG TU'!$I157,'CHUNG TU'!$L157,0)</f>
        <v>0</v>
      </c>
      <c r="M166" s="213">
        <f>IF(M$10='CHUNG TU'!$I157,'CHUNG TU'!$L157,0)</f>
        <v>0</v>
      </c>
      <c r="N166" s="213">
        <f>IF(N$10='CHUNG TU'!$I157,'CHUNG TU'!$L157,0)</f>
        <v>0</v>
      </c>
      <c r="O166" s="213">
        <f>IF(F166&lt;&gt;0,'CHUNG TU'!J157,"")</f>
      </c>
      <c r="P166" s="213">
        <f>IF(LEFT('CHUNG TU'!J157,3)='CPSXKD 642_yếu tố'!$H$7,'CHUNG TU'!$L157,0)</f>
        <v>0</v>
      </c>
      <c r="Q166" s="213">
        <f>IF(P166&lt;&gt;0,'CHUNG TU'!I157,"")</f>
      </c>
    </row>
    <row r="167" spans="2:17" ht="12.75">
      <c r="B167" s="213">
        <f>IF($F167+$P167&lt;&gt;0,'CHUNG TU'!A158,"")</f>
      </c>
      <c r="C167" s="213">
        <f>IF($F167+$P167&lt;&gt;0,IF('CHUNG TU'!B158&lt;&gt;"",'CHUNG TU'!B158,IF('CHUNG TU'!C158&lt;&gt;"",'CHUNG TU'!C158,'CHUNG TU'!D158)),"")</f>
      </c>
      <c r="D167" s="213">
        <f>IF($F167+$P167&lt;&gt;0,'CHUNG TU'!F158,"")</f>
      </c>
      <c r="E167" s="213">
        <f>IF($F167+$P167&lt;&gt;0,'CHUNG TU'!H158,"")</f>
      </c>
      <c r="F167" s="213">
        <f>IF(LEFT('CHUNG TU'!I158,3)='CPSXKD 642_yếu tố'!$H$7,'CHUNG TU'!$L158,0)</f>
        <v>0</v>
      </c>
      <c r="G167" s="213">
        <f>IF(G$10='CHUNG TU'!$I158,'CHUNG TU'!$L158,0)</f>
        <v>0</v>
      </c>
      <c r="H167" s="213">
        <f>IF(H$10='CHUNG TU'!$I158,'CHUNG TU'!$L158,0)</f>
        <v>0</v>
      </c>
      <c r="I167" s="213">
        <f>IF(I$10='CHUNG TU'!$I158,'CHUNG TU'!$L158,0)</f>
        <v>0</v>
      </c>
      <c r="J167" s="213">
        <f>IF(J$10='CHUNG TU'!$I158,'CHUNG TU'!$L158,0)</f>
        <v>0</v>
      </c>
      <c r="K167" s="213">
        <f>IF(K$10='CHUNG TU'!$I158,'CHUNG TU'!$L158,0)</f>
        <v>0</v>
      </c>
      <c r="L167" s="213">
        <f>IF(L$10='CHUNG TU'!$I158,'CHUNG TU'!$L158,0)</f>
        <v>0</v>
      </c>
      <c r="M167" s="213">
        <f>IF(M$10='CHUNG TU'!$I158,'CHUNG TU'!$L158,0)</f>
        <v>0</v>
      </c>
      <c r="N167" s="213">
        <f>IF(N$10='CHUNG TU'!$I158,'CHUNG TU'!$L158,0)</f>
        <v>0</v>
      </c>
      <c r="O167" s="213">
        <f>IF(F167&lt;&gt;0,'CHUNG TU'!J158,"")</f>
      </c>
      <c r="P167" s="213">
        <f>IF(LEFT('CHUNG TU'!J158,3)='CPSXKD 642_yếu tố'!$H$7,'CHUNG TU'!$L158,0)</f>
        <v>0</v>
      </c>
      <c r="Q167" s="213">
        <f>IF(P167&lt;&gt;0,'CHUNG TU'!I158,"")</f>
      </c>
    </row>
    <row r="168" spans="2:17" ht="12.75">
      <c r="B168" s="213">
        <f>IF($F168+$P168&lt;&gt;0,'CHUNG TU'!A159,"")</f>
      </c>
      <c r="C168" s="213">
        <f>IF($F168+$P168&lt;&gt;0,IF('CHUNG TU'!B159&lt;&gt;"",'CHUNG TU'!B159,IF('CHUNG TU'!C159&lt;&gt;"",'CHUNG TU'!C159,'CHUNG TU'!D159)),"")</f>
      </c>
      <c r="D168" s="213">
        <f>IF($F168+$P168&lt;&gt;0,'CHUNG TU'!F159,"")</f>
      </c>
      <c r="E168" s="213">
        <f>IF($F168+$P168&lt;&gt;0,'CHUNG TU'!H159,"")</f>
      </c>
      <c r="F168" s="213">
        <f>IF(LEFT('CHUNG TU'!I159,3)='CPSXKD 642_yếu tố'!$H$7,'CHUNG TU'!$L159,0)</f>
        <v>0</v>
      </c>
      <c r="G168" s="213">
        <f>IF(G$10='CHUNG TU'!$I159,'CHUNG TU'!$L159,0)</f>
        <v>0</v>
      </c>
      <c r="H168" s="213">
        <f>IF(H$10='CHUNG TU'!$I159,'CHUNG TU'!$L159,0)</f>
        <v>0</v>
      </c>
      <c r="I168" s="213">
        <f>IF(I$10='CHUNG TU'!$I159,'CHUNG TU'!$L159,0)</f>
        <v>0</v>
      </c>
      <c r="J168" s="213">
        <f>IF(J$10='CHUNG TU'!$I159,'CHUNG TU'!$L159,0)</f>
        <v>0</v>
      </c>
      <c r="K168" s="213">
        <f>IF(K$10='CHUNG TU'!$I159,'CHUNG TU'!$L159,0)</f>
        <v>0</v>
      </c>
      <c r="L168" s="213">
        <f>IF(L$10='CHUNG TU'!$I159,'CHUNG TU'!$L159,0)</f>
        <v>0</v>
      </c>
      <c r="M168" s="213">
        <f>IF(M$10='CHUNG TU'!$I159,'CHUNG TU'!$L159,0)</f>
        <v>0</v>
      </c>
      <c r="N168" s="213">
        <f>IF(N$10='CHUNG TU'!$I159,'CHUNG TU'!$L159,0)</f>
        <v>0</v>
      </c>
      <c r="O168" s="213">
        <f>IF(F168&lt;&gt;0,'CHUNG TU'!J159,"")</f>
      </c>
      <c r="P168" s="213">
        <f>IF(LEFT('CHUNG TU'!J159,3)='CPSXKD 642_yếu tố'!$H$7,'CHUNG TU'!$L159,0)</f>
        <v>0</v>
      </c>
      <c r="Q168" s="213">
        <f>IF(P168&lt;&gt;0,'CHUNG TU'!I159,"")</f>
      </c>
    </row>
    <row r="169" spans="2:17" ht="12.75">
      <c r="B169" s="213">
        <f>IF($F169+$P169&lt;&gt;0,'CHUNG TU'!A160,"")</f>
      </c>
      <c r="C169" s="213">
        <f>IF($F169+$P169&lt;&gt;0,IF('CHUNG TU'!B160&lt;&gt;"",'CHUNG TU'!B160,IF('CHUNG TU'!C160&lt;&gt;"",'CHUNG TU'!C160,'CHUNG TU'!D160)),"")</f>
      </c>
      <c r="D169" s="213">
        <f>IF($F169+$P169&lt;&gt;0,'CHUNG TU'!F160,"")</f>
      </c>
      <c r="E169" s="213">
        <f>IF($F169+$P169&lt;&gt;0,'CHUNG TU'!H160,"")</f>
      </c>
      <c r="F169" s="213">
        <f>IF(LEFT('CHUNG TU'!I160,3)='CPSXKD 642_yếu tố'!$H$7,'CHUNG TU'!$L160,0)</f>
        <v>0</v>
      </c>
      <c r="G169" s="213">
        <f>IF(G$10='CHUNG TU'!$I160,'CHUNG TU'!$L160,0)</f>
        <v>0</v>
      </c>
      <c r="H169" s="213">
        <f>IF(H$10='CHUNG TU'!$I160,'CHUNG TU'!$L160,0)</f>
        <v>0</v>
      </c>
      <c r="I169" s="213">
        <f>IF(I$10='CHUNG TU'!$I160,'CHUNG TU'!$L160,0)</f>
        <v>0</v>
      </c>
      <c r="J169" s="213">
        <f>IF(J$10='CHUNG TU'!$I160,'CHUNG TU'!$L160,0)</f>
        <v>0</v>
      </c>
      <c r="K169" s="213">
        <f>IF(K$10='CHUNG TU'!$I160,'CHUNG TU'!$L160,0)</f>
        <v>0</v>
      </c>
      <c r="L169" s="213">
        <f>IF(L$10='CHUNG TU'!$I160,'CHUNG TU'!$L160,0)</f>
        <v>0</v>
      </c>
      <c r="M169" s="213">
        <f>IF(M$10='CHUNG TU'!$I160,'CHUNG TU'!$L160,0)</f>
        <v>0</v>
      </c>
      <c r="N169" s="213">
        <f>IF(N$10='CHUNG TU'!$I160,'CHUNG TU'!$L160,0)</f>
        <v>0</v>
      </c>
      <c r="O169" s="213">
        <f>IF(F169&lt;&gt;0,'CHUNG TU'!J160,"")</f>
      </c>
      <c r="P169" s="213">
        <f>IF(LEFT('CHUNG TU'!J160,3)='CPSXKD 642_yếu tố'!$H$7,'CHUNG TU'!$L160,0)</f>
        <v>0</v>
      </c>
      <c r="Q169" s="213">
        <f>IF(P169&lt;&gt;0,'CHUNG TU'!I160,"")</f>
      </c>
    </row>
    <row r="170" spans="2:17" ht="12.75">
      <c r="B170" s="213">
        <f>IF($F170+$P170&lt;&gt;0,'CHUNG TU'!A161,"")</f>
      </c>
      <c r="C170" s="213">
        <f>IF($F170+$P170&lt;&gt;0,IF('CHUNG TU'!B161&lt;&gt;"",'CHUNG TU'!B161,IF('CHUNG TU'!C161&lt;&gt;"",'CHUNG TU'!C161,'CHUNG TU'!D161)),"")</f>
      </c>
      <c r="D170" s="213">
        <f>IF($F170+$P170&lt;&gt;0,'CHUNG TU'!F161,"")</f>
      </c>
      <c r="E170" s="213">
        <f>IF($F170+$P170&lt;&gt;0,'CHUNG TU'!H161,"")</f>
      </c>
      <c r="F170" s="213">
        <f>IF(LEFT('CHUNG TU'!I161,3)='CPSXKD 642_yếu tố'!$H$7,'CHUNG TU'!$L161,0)</f>
        <v>0</v>
      </c>
      <c r="G170" s="213">
        <f>IF(G$10='CHUNG TU'!$I161,'CHUNG TU'!$L161,0)</f>
        <v>0</v>
      </c>
      <c r="H170" s="213">
        <f>IF(H$10='CHUNG TU'!$I161,'CHUNG TU'!$L161,0)</f>
        <v>0</v>
      </c>
      <c r="I170" s="213">
        <f>IF(I$10='CHUNG TU'!$I161,'CHUNG TU'!$L161,0)</f>
        <v>0</v>
      </c>
      <c r="J170" s="213">
        <f>IF(J$10='CHUNG TU'!$I161,'CHUNG TU'!$L161,0)</f>
        <v>0</v>
      </c>
      <c r="K170" s="213">
        <f>IF(K$10='CHUNG TU'!$I161,'CHUNG TU'!$L161,0)</f>
        <v>0</v>
      </c>
      <c r="L170" s="213">
        <f>IF(L$10='CHUNG TU'!$I161,'CHUNG TU'!$L161,0)</f>
        <v>0</v>
      </c>
      <c r="M170" s="213">
        <f>IF(M$10='CHUNG TU'!$I161,'CHUNG TU'!$L161,0)</f>
        <v>0</v>
      </c>
      <c r="N170" s="213">
        <f>IF(N$10='CHUNG TU'!$I161,'CHUNG TU'!$L161,0)</f>
        <v>0</v>
      </c>
      <c r="O170" s="213">
        <f>IF(F170&lt;&gt;0,'CHUNG TU'!J161,"")</f>
      </c>
      <c r="P170" s="213">
        <f>IF(LEFT('CHUNG TU'!J161,3)='CPSXKD 642_yếu tố'!$H$7,'CHUNG TU'!$L161,0)</f>
        <v>0</v>
      </c>
      <c r="Q170" s="213">
        <f>IF(P170&lt;&gt;0,'CHUNG TU'!I161,"")</f>
      </c>
    </row>
    <row r="171" spans="2:17" ht="12.75">
      <c r="B171" s="213">
        <f>IF($F171+$P171&lt;&gt;0,'CHUNG TU'!A162,"")</f>
      </c>
      <c r="C171" s="213">
        <f>IF($F171+$P171&lt;&gt;0,IF('CHUNG TU'!B162&lt;&gt;"",'CHUNG TU'!B162,IF('CHUNG TU'!C162&lt;&gt;"",'CHUNG TU'!C162,'CHUNG TU'!D162)),"")</f>
      </c>
      <c r="D171" s="213">
        <f>IF($F171+$P171&lt;&gt;0,'CHUNG TU'!F162,"")</f>
      </c>
      <c r="E171" s="213">
        <f>IF($F171+$P171&lt;&gt;0,'CHUNG TU'!H162,"")</f>
      </c>
      <c r="F171" s="213">
        <f>IF(LEFT('CHUNG TU'!I162,3)='CPSXKD 642_yếu tố'!$H$7,'CHUNG TU'!$L162,0)</f>
        <v>0</v>
      </c>
      <c r="G171" s="213">
        <f>IF(G$10='CHUNG TU'!$I162,'CHUNG TU'!$L162,0)</f>
        <v>0</v>
      </c>
      <c r="H171" s="213">
        <f>IF(H$10='CHUNG TU'!$I162,'CHUNG TU'!$L162,0)</f>
        <v>0</v>
      </c>
      <c r="I171" s="213">
        <f>IF(I$10='CHUNG TU'!$I162,'CHUNG TU'!$L162,0)</f>
        <v>0</v>
      </c>
      <c r="J171" s="213">
        <f>IF(J$10='CHUNG TU'!$I162,'CHUNG TU'!$L162,0)</f>
        <v>0</v>
      </c>
      <c r="K171" s="213">
        <f>IF(K$10='CHUNG TU'!$I162,'CHUNG TU'!$L162,0)</f>
        <v>0</v>
      </c>
      <c r="L171" s="213">
        <f>IF(L$10='CHUNG TU'!$I162,'CHUNG TU'!$L162,0)</f>
        <v>0</v>
      </c>
      <c r="M171" s="213">
        <f>IF(M$10='CHUNG TU'!$I162,'CHUNG TU'!$L162,0)</f>
        <v>0</v>
      </c>
      <c r="N171" s="213">
        <f>IF(N$10='CHUNG TU'!$I162,'CHUNG TU'!$L162,0)</f>
        <v>0</v>
      </c>
      <c r="O171" s="213">
        <f>IF(F171&lt;&gt;0,'CHUNG TU'!J162,"")</f>
      </c>
      <c r="P171" s="213">
        <f>IF(LEFT('CHUNG TU'!J162,3)='CPSXKD 642_yếu tố'!$H$7,'CHUNG TU'!$L162,0)</f>
        <v>0</v>
      </c>
      <c r="Q171" s="213">
        <f>IF(P171&lt;&gt;0,'CHUNG TU'!I162,"")</f>
      </c>
    </row>
    <row r="172" spans="2:17" ht="12.75">
      <c r="B172" s="213">
        <f>IF($F172+$P172&lt;&gt;0,'CHUNG TU'!A163,"")</f>
      </c>
      <c r="C172" s="213">
        <f>IF($F172+$P172&lt;&gt;0,IF('CHUNG TU'!B163&lt;&gt;"",'CHUNG TU'!B163,IF('CHUNG TU'!C163&lt;&gt;"",'CHUNG TU'!C163,'CHUNG TU'!D163)),"")</f>
      </c>
      <c r="D172" s="213">
        <f>IF($F172+$P172&lt;&gt;0,'CHUNG TU'!F163,"")</f>
      </c>
      <c r="E172" s="213">
        <f>IF($F172+$P172&lt;&gt;0,'CHUNG TU'!H163,"")</f>
      </c>
      <c r="F172" s="213">
        <f>IF(LEFT('CHUNG TU'!I163,3)='CPSXKD 642_yếu tố'!$H$7,'CHUNG TU'!$L163,0)</f>
        <v>0</v>
      </c>
      <c r="G172" s="213">
        <f>IF(G$10='CHUNG TU'!$I163,'CHUNG TU'!$L163,0)</f>
        <v>0</v>
      </c>
      <c r="H172" s="213">
        <f>IF(H$10='CHUNG TU'!$I163,'CHUNG TU'!$L163,0)</f>
        <v>0</v>
      </c>
      <c r="I172" s="213">
        <f>IF(I$10='CHUNG TU'!$I163,'CHUNG TU'!$L163,0)</f>
        <v>0</v>
      </c>
      <c r="J172" s="213">
        <f>IF(J$10='CHUNG TU'!$I163,'CHUNG TU'!$L163,0)</f>
        <v>0</v>
      </c>
      <c r="K172" s="213">
        <f>IF(K$10='CHUNG TU'!$I163,'CHUNG TU'!$L163,0)</f>
        <v>0</v>
      </c>
      <c r="L172" s="213">
        <f>IF(L$10='CHUNG TU'!$I163,'CHUNG TU'!$L163,0)</f>
        <v>0</v>
      </c>
      <c r="M172" s="213">
        <f>IF(M$10='CHUNG TU'!$I163,'CHUNG TU'!$L163,0)</f>
        <v>0</v>
      </c>
      <c r="N172" s="213">
        <f>IF(N$10='CHUNG TU'!$I163,'CHUNG TU'!$L163,0)</f>
        <v>0</v>
      </c>
      <c r="O172" s="213">
        <f>IF(F172&lt;&gt;0,'CHUNG TU'!J163,"")</f>
      </c>
      <c r="P172" s="213">
        <f>IF(LEFT('CHUNG TU'!J163,3)='CPSXKD 642_yếu tố'!$H$7,'CHUNG TU'!$L163,0)</f>
        <v>0</v>
      </c>
      <c r="Q172" s="213">
        <f>IF(P172&lt;&gt;0,'CHUNG TU'!I163,"")</f>
      </c>
    </row>
    <row r="173" spans="2:17" ht="12.75">
      <c r="B173" s="213">
        <f>IF($F173+$P173&lt;&gt;0,'CHUNG TU'!A164,"")</f>
      </c>
      <c r="C173" s="213">
        <f>IF($F173+$P173&lt;&gt;0,IF('CHUNG TU'!B164&lt;&gt;"",'CHUNG TU'!B164,IF('CHUNG TU'!C164&lt;&gt;"",'CHUNG TU'!C164,'CHUNG TU'!D164)),"")</f>
      </c>
      <c r="D173" s="213">
        <f>IF($F173+$P173&lt;&gt;0,'CHUNG TU'!F164,"")</f>
      </c>
      <c r="E173" s="213">
        <f>IF($F173+$P173&lt;&gt;0,'CHUNG TU'!H164,"")</f>
      </c>
      <c r="F173" s="213">
        <f>IF(LEFT('CHUNG TU'!I164,3)='CPSXKD 642_yếu tố'!$H$7,'CHUNG TU'!$L164,0)</f>
        <v>0</v>
      </c>
      <c r="G173" s="213">
        <f>IF(G$10='CHUNG TU'!$I164,'CHUNG TU'!$L164,0)</f>
        <v>0</v>
      </c>
      <c r="H173" s="213">
        <f>IF(H$10='CHUNG TU'!$I164,'CHUNG TU'!$L164,0)</f>
        <v>0</v>
      </c>
      <c r="I173" s="213">
        <f>IF(I$10='CHUNG TU'!$I164,'CHUNG TU'!$L164,0)</f>
        <v>0</v>
      </c>
      <c r="J173" s="213">
        <f>IF(J$10='CHUNG TU'!$I164,'CHUNG TU'!$L164,0)</f>
        <v>0</v>
      </c>
      <c r="K173" s="213">
        <f>IF(K$10='CHUNG TU'!$I164,'CHUNG TU'!$L164,0)</f>
        <v>0</v>
      </c>
      <c r="L173" s="213">
        <f>IF(L$10='CHUNG TU'!$I164,'CHUNG TU'!$L164,0)</f>
        <v>0</v>
      </c>
      <c r="M173" s="213">
        <f>IF(M$10='CHUNG TU'!$I164,'CHUNG TU'!$L164,0)</f>
        <v>0</v>
      </c>
      <c r="N173" s="213">
        <f>IF(N$10='CHUNG TU'!$I164,'CHUNG TU'!$L164,0)</f>
        <v>0</v>
      </c>
      <c r="O173" s="213">
        <f>IF(F173&lt;&gt;0,'CHUNG TU'!J164,"")</f>
      </c>
      <c r="P173" s="213">
        <f>IF(LEFT('CHUNG TU'!J164,3)='CPSXKD 642_yếu tố'!$H$7,'CHUNG TU'!$L164,0)</f>
        <v>0</v>
      </c>
      <c r="Q173" s="213">
        <f>IF(P173&lt;&gt;0,'CHUNG TU'!I164,"")</f>
      </c>
    </row>
    <row r="174" spans="2:17" ht="12.75">
      <c r="B174" s="213">
        <f>IF($F174+$P174&lt;&gt;0,'CHUNG TU'!A165,"")</f>
      </c>
      <c r="C174" s="213">
        <f>IF($F174+$P174&lt;&gt;0,IF('CHUNG TU'!B165&lt;&gt;"",'CHUNG TU'!B165,IF('CHUNG TU'!C165&lt;&gt;"",'CHUNG TU'!C165,'CHUNG TU'!D165)),"")</f>
      </c>
      <c r="D174" s="213">
        <f>IF($F174+$P174&lt;&gt;0,'CHUNG TU'!F165,"")</f>
      </c>
      <c r="E174" s="213">
        <f>IF($F174+$P174&lt;&gt;0,'CHUNG TU'!H165,"")</f>
      </c>
      <c r="F174" s="213">
        <f>IF(LEFT('CHUNG TU'!I165,3)='CPSXKD 642_yếu tố'!$H$7,'CHUNG TU'!$L165,0)</f>
        <v>0</v>
      </c>
      <c r="G174" s="213">
        <f>IF(G$10='CHUNG TU'!$I165,'CHUNG TU'!$L165,0)</f>
        <v>0</v>
      </c>
      <c r="H174" s="213">
        <f>IF(H$10='CHUNG TU'!$I165,'CHUNG TU'!$L165,0)</f>
        <v>0</v>
      </c>
      <c r="I174" s="213">
        <f>IF(I$10='CHUNG TU'!$I165,'CHUNG TU'!$L165,0)</f>
        <v>0</v>
      </c>
      <c r="J174" s="213">
        <f>IF(J$10='CHUNG TU'!$I165,'CHUNG TU'!$L165,0)</f>
        <v>0</v>
      </c>
      <c r="K174" s="213">
        <f>IF(K$10='CHUNG TU'!$I165,'CHUNG TU'!$L165,0)</f>
        <v>0</v>
      </c>
      <c r="L174" s="213">
        <f>IF(L$10='CHUNG TU'!$I165,'CHUNG TU'!$L165,0)</f>
        <v>0</v>
      </c>
      <c r="M174" s="213">
        <f>IF(M$10='CHUNG TU'!$I165,'CHUNG TU'!$L165,0)</f>
        <v>0</v>
      </c>
      <c r="N174" s="213">
        <f>IF(N$10='CHUNG TU'!$I165,'CHUNG TU'!$L165,0)</f>
        <v>0</v>
      </c>
      <c r="O174" s="213">
        <f>IF(F174&lt;&gt;0,'CHUNG TU'!J165,"")</f>
      </c>
      <c r="P174" s="213">
        <f>IF(LEFT('CHUNG TU'!J165,3)='CPSXKD 642_yếu tố'!$H$7,'CHUNG TU'!$L165,0)</f>
        <v>0</v>
      </c>
      <c r="Q174" s="213">
        <f>IF(P174&lt;&gt;0,'CHUNG TU'!I165,"")</f>
      </c>
    </row>
    <row r="175" spans="2:17" ht="12.75">
      <c r="B175" s="213">
        <f>IF($F175+$P175&lt;&gt;0,'CHUNG TU'!A166,"")</f>
      </c>
      <c r="C175" s="213">
        <f>IF($F175+$P175&lt;&gt;0,IF('CHUNG TU'!B166&lt;&gt;"",'CHUNG TU'!B166,IF('CHUNG TU'!C166&lt;&gt;"",'CHUNG TU'!C166,'CHUNG TU'!D166)),"")</f>
      </c>
      <c r="D175" s="213">
        <f>IF($F175+$P175&lt;&gt;0,'CHUNG TU'!F166,"")</f>
      </c>
      <c r="E175" s="213">
        <f>IF($F175+$P175&lt;&gt;0,'CHUNG TU'!H166,"")</f>
      </c>
      <c r="F175" s="213">
        <f>IF(LEFT('CHUNG TU'!I166,3)='CPSXKD 642_yếu tố'!$H$7,'CHUNG TU'!$L166,0)</f>
        <v>0</v>
      </c>
      <c r="G175" s="213">
        <f>IF(G$10='CHUNG TU'!$I166,'CHUNG TU'!$L166,0)</f>
        <v>0</v>
      </c>
      <c r="H175" s="213">
        <f>IF(H$10='CHUNG TU'!$I166,'CHUNG TU'!$L166,0)</f>
        <v>0</v>
      </c>
      <c r="I175" s="213">
        <f>IF(I$10='CHUNG TU'!$I166,'CHUNG TU'!$L166,0)</f>
        <v>0</v>
      </c>
      <c r="J175" s="213">
        <f>IF(J$10='CHUNG TU'!$I166,'CHUNG TU'!$L166,0)</f>
        <v>0</v>
      </c>
      <c r="K175" s="213">
        <f>IF(K$10='CHUNG TU'!$I166,'CHUNG TU'!$L166,0)</f>
        <v>0</v>
      </c>
      <c r="L175" s="213">
        <f>IF(L$10='CHUNG TU'!$I166,'CHUNG TU'!$L166,0)</f>
        <v>0</v>
      </c>
      <c r="M175" s="213">
        <f>IF(M$10='CHUNG TU'!$I166,'CHUNG TU'!$L166,0)</f>
        <v>0</v>
      </c>
      <c r="N175" s="213">
        <f>IF(N$10='CHUNG TU'!$I166,'CHUNG TU'!$L166,0)</f>
        <v>0</v>
      </c>
      <c r="O175" s="213">
        <f>IF(F175&lt;&gt;0,'CHUNG TU'!J166,"")</f>
      </c>
      <c r="P175" s="213">
        <f>IF(LEFT('CHUNG TU'!J166,3)='CPSXKD 642_yếu tố'!$H$7,'CHUNG TU'!$L166,0)</f>
        <v>0</v>
      </c>
      <c r="Q175" s="213">
        <f>IF(P175&lt;&gt;0,'CHUNG TU'!I166,"")</f>
      </c>
    </row>
    <row r="176" spans="2:17" ht="12.75">
      <c r="B176" s="213">
        <f>IF($F176+$P176&lt;&gt;0,'CHUNG TU'!A167,"")</f>
      </c>
      <c r="C176" s="213">
        <f>IF($F176+$P176&lt;&gt;0,IF('CHUNG TU'!B167&lt;&gt;"",'CHUNG TU'!B167,IF('CHUNG TU'!C167&lt;&gt;"",'CHUNG TU'!C167,'CHUNG TU'!D167)),"")</f>
      </c>
      <c r="D176" s="213">
        <f>IF($F176+$P176&lt;&gt;0,'CHUNG TU'!F167,"")</f>
      </c>
      <c r="E176" s="213">
        <f>IF($F176+$P176&lt;&gt;0,'CHUNG TU'!H167,"")</f>
      </c>
      <c r="F176" s="213">
        <f>IF(LEFT('CHUNG TU'!I167,3)='CPSXKD 642_yếu tố'!$H$7,'CHUNG TU'!$L167,0)</f>
        <v>0</v>
      </c>
      <c r="G176" s="213">
        <f>IF(G$10='CHUNG TU'!$I167,'CHUNG TU'!$L167,0)</f>
        <v>0</v>
      </c>
      <c r="H176" s="213">
        <f>IF(H$10='CHUNG TU'!$I167,'CHUNG TU'!$L167,0)</f>
        <v>0</v>
      </c>
      <c r="I176" s="213">
        <f>IF(I$10='CHUNG TU'!$I167,'CHUNG TU'!$L167,0)</f>
        <v>0</v>
      </c>
      <c r="J176" s="213">
        <f>IF(J$10='CHUNG TU'!$I167,'CHUNG TU'!$L167,0)</f>
        <v>0</v>
      </c>
      <c r="K176" s="213">
        <f>IF(K$10='CHUNG TU'!$I167,'CHUNG TU'!$L167,0)</f>
        <v>0</v>
      </c>
      <c r="L176" s="213">
        <f>IF(L$10='CHUNG TU'!$I167,'CHUNG TU'!$L167,0)</f>
        <v>0</v>
      </c>
      <c r="M176" s="213">
        <f>IF(M$10='CHUNG TU'!$I167,'CHUNG TU'!$L167,0)</f>
        <v>0</v>
      </c>
      <c r="N176" s="213">
        <f>IF(N$10='CHUNG TU'!$I167,'CHUNG TU'!$L167,0)</f>
        <v>0</v>
      </c>
      <c r="O176" s="213">
        <f>IF(F176&lt;&gt;0,'CHUNG TU'!J167,"")</f>
      </c>
      <c r="P176" s="213">
        <f>IF(LEFT('CHUNG TU'!J167,3)='CPSXKD 642_yếu tố'!$H$7,'CHUNG TU'!$L167,0)</f>
        <v>0</v>
      </c>
      <c r="Q176" s="213">
        <f>IF(P176&lt;&gt;0,'CHUNG TU'!I167,"")</f>
      </c>
    </row>
    <row r="177" spans="2:17" ht="12.75">
      <c r="B177" s="213">
        <f>IF($F177+$P177&lt;&gt;0,'CHUNG TU'!A168,"")</f>
      </c>
      <c r="C177" s="213">
        <f>IF($F177+$P177&lt;&gt;0,IF('CHUNG TU'!B168&lt;&gt;"",'CHUNG TU'!B168,IF('CHUNG TU'!C168&lt;&gt;"",'CHUNG TU'!C168,'CHUNG TU'!D168)),"")</f>
      </c>
      <c r="D177" s="213">
        <f>IF($F177+$P177&lt;&gt;0,'CHUNG TU'!F168,"")</f>
      </c>
      <c r="E177" s="213">
        <f>IF($F177+$P177&lt;&gt;0,'CHUNG TU'!H168,"")</f>
      </c>
      <c r="F177" s="213">
        <f>IF(LEFT('CHUNG TU'!I168,3)='CPSXKD 642_yếu tố'!$H$7,'CHUNG TU'!$L168,0)</f>
        <v>0</v>
      </c>
      <c r="G177" s="213">
        <f>IF(G$10='CHUNG TU'!$I168,'CHUNG TU'!$L168,0)</f>
        <v>0</v>
      </c>
      <c r="H177" s="213">
        <f>IF(H$10='CHUNG TU'!$I168,'CHUNG TU'!$L168,0)</f>
        <v>0</v>
      </c>
      <c r="I177" s="213">
        <f>IF(I$10='CHUNG TU'!$I168,'CHUNG TU'!$L168,0)</f>
        <v>0</v>
      </c>
      <c r="J177" s="213">
        <f>IF(J$10='CHUNG TU'!$I168,'CHUNG TU'!$L168,0)</f>
        <v>0</v>
      </c>
      <c r="K177" s="213">
        <f>IF(K$10='CHUNG TU'!$I168,'CHUNG TU'!$L168,0)</f>
        <v>0</v>
      </c>
      <c r="L177" s="213">
        <f>IF(L$10='CHUNG TU'!$I168,'CHUNG TU'!$L168,0)</f>
        <v>0</v>
      </c>
      <c r="M177" s="213">
        <f>IF(M$10='CHUNG TU'!$I168,'CHUNG TU'!$L168,0)</f>
        <v>0</v>
      </c>
      <c r="N177" s="213">
        <f>IF(N$10='CHUNG TU'!$I168,'CHUNG TU'!$L168,0)</f>
        <v>0</v>
      </c>
      <c r="O177" s="213">
        <f>IF(F177&lt;&gt;0,'CHUNG TU'!J168,"")</f>
      </c>
      <c r="P177" s="213">
        <f>IF(LEFT('CHUNG TU'!J168,3)='CPSXKD 642_yếu tố'!$H$7,'CHUNG TU'!$L168,0)</f>
        <v>0</v>
      </c>
      <c r="Q177" s="213">
        <f>IF(P177&lt;&gt;0,'CHUNG TU'!I168,"")</f>
      </c>
    </row>
    <row r="178" spans="2:17" ht="12.75">
      <c r="B178" s="213">
        <f>IF($F178+$P178&lt;&gt;0,'CHUNG TU'!A169,"")</f>
      </c>
      <c r="C178" s="213">
        <f>IF($F178+$P178&lt;&gt;0,IF('CHUNG TU'!B169&lt;&gt;"",'CHUNG TU'!B169,IF('CHUNG TU'!C169&lt;&gt;"",'CHUNG TU'!C169,'CHUNG TU'!D169)),"")</f>
      </c>
      <c r="D178" s="213">
        <f>IF($F178+$P178&lt;&gt;0,'CHUNG TU'!F169,"")</f>
      </c>
      <c r="E178" s="213">
        <f>IF($F178+$P178&lt;&gt;0,'CHUNG TU'!H169,"")</f>
      </c>
      <c r="F178" s="213">
        <f>IF(LEFT('CHUNG TU'!I169,3)='CPSXKD 642_yếu tố'!$H$7,'CHUNG TU'!$L169,0)</f>
        <v>0</v>
      </c>
      <c r="G178" s="213">
        <f>IF(G$10='CHUNG TU'!$I169,'CHUNG TU'!$L169,0)</f>
        <v>0</v>
      </c>
      <c r="H178" s="213">
        <f>IF(H$10='CHUNG TU'!$I169,'CHUNG TU'!$L169,0)</f>
        <v>0</v>
      </c>
      <c r="I178" s="213">
        <f>IF(I$10='CHUNG TU'!$I169,'CHUNG TU'!$L169,0)</f>
        <v>0</v>
      </c>
      <c r="J178" s="213">
        <f>IF(J$10='CHUNG TU'!$I169,'CHUNG TU'!$L169,0)</f>
        <v>0</v>
      </c>
      <c r="K178" s="213">
        <f>IF(K$10='CHUNG TU'!$I169,'CHUNG TU'!$L169,0)</f>
        <v>0</v>
      </c>
      <c r="L178" s="213">
        <f>IF(L$10='CHUNG TU'!$I169,'CHUNG TU'!$L169,0)</f>
        <v>0</v>
      </c>
      <c r="M178" s="213">
        <f>IF(M$10='CHUNG TU'!$I169,'CHUNG TU'!$L169,0)</f>
        <v>0</v>
      </c>
      <c r="N178" s="213">
        <f>IF(N$10='CHUNG TU'!$I169,'CHUNG TU'!$L169,0)</f>
        <v>0</v>
      </c>
      <c r="O178" s="213">
        <f>IF(F178&lt;&gt;0,'CHUNG TU'!J169,"")</f>
      </c>
      <c r="P178" s="213">
        <f>IF(LEFT('CHUNG TU'!J169,3)='CPSXKD 642_yếu tố'!$H$7,'CHUNG TU'!$L169,0)</f>
        <v>0</v>
      </c>
      <c r="Q178" s="213">
        <f>IF(P178&lt;&gt;0,'CHUNG TU'!I169,"")</f>
      </c>
    </row>
    <row r="179" spans="2:17" ht="12.75">
      <c r="B179" s="213" t="str">
        <f>IF($F179+$P179&lt;&gt;0,'CHUNG TU'!A170,"")</f>
        <v>29/10/2020</v>
      </c>
      <c r="C179" s="213" t="str">
        <f>IF($F179+$P179&lt;&gt;0,IF('CHUNG TU'!B170&lt;&gt;"",'CHUNG TU'!B170,IF('CHUNG TU'!C170&lt;&gt;"",'CHUNG TU'!C170,'CHUNG TU'!D170)),"")</f>
        <v>PX 10/011NVL</v>
      </c>
      <c r="D179" s="213" t="str">
        <f>IF($F179+$P179&lt;&gt;0,'CHUNG TU'!F170,"")</f>
        <v>29/10/2020</v>
      </c>
      <c r="E179" s="213" t="str">
        <f>IF($F179+$P179&lt;&gt;0,'CHUNG TU'!H170,"")</f>
        <v>Xuất nhiên liệ cho QLDN</v>
      </c>
      <c r="F179" s="213">
        <f>IF(LEFT('CHUNG TU'!I170,3)='CPSXKD 642_yếu tố'!$H$7,'CHUNG TU'!$L170,0)</f>
        <v>540243</v>
      </c>
      <c r="G179" s="213">
        <f>IF(G$10='CHUNG TU'!$I170,'CHUNG TU'!$L170,0)</f>
        <v>0</v>
      </c>
      <c r="H179" s="213">
        <f>IF(H$10='CHUNG TU'!$I170,'CHUNG TU'!$L170,0)</f>
        <v>540243</v>
      </c>
      <c r="I179" s="213">
        <f>IF(I$10='CHUNG TU'!$I170,'CHUNG TU'!$L170,0)</f>
        <v>0</v>
      </c>
      <c r="J179" s="213">
        <f>IF(J$10='CHUNG TU'!$I170,'CHUNG TU'!$L170,0)</f>
        <v>0</v>
      </c>
      <c r="K179" s="213">
        <f>IF(K$10='CHUNG TU'!$I170,'CHUNG TU'!$L170,0)</f>
        <v>0</v>
      </c>
      <c r="L179" s="213">
        <f>IF(L$10='CHUNG TU'!$I170,'CHUNG TU'!$L170,0)</f>
        <v>0</v>
      </c>
      <c r="M179" s="213">
        <f>IF(M$10='CHUNG TU'!$I170,'CHUNG TU'!$L170,0)</f>
        <v>0</v>
      </c>
      <c r="N179" s="213">
        <f>IF(N$10='CHUNG TU'!$I170,'CHUNG TU'!$L170,0)</f>
        <v>0</v>
      </c>
      <c r="O179" s="213" t="str">
        <f>IF(F179&lt;&gt;0,'CHUNG TU'!J170,"")</f>
        <v>1523.C01</v>
      </c>
      <c r="P179" s="213">
        <f>IF(LEFT('CHUNG TU'!J170,3)='CPSXKD 642_yếu tố'!$H$7,'CHUNG TU'!$L170,0)</f>
        <v>0</v>
      </c>
      <c r="Q179" s="213">
        <f>IF(P179&lt;&gt;0,'CHUNG TU'!I170,"")</f>
      </c>
    </row>
    <row r="180" spans="2:17" ht="12.75">
      <c r="B180" s="213">
        <f>IF($F180+$P180&lt;&gt;0,'CHUNG TU'!A171,"")</f>
      </c>
      <c r="C180" s="213">
        <f>IF($F180+$P180&lt;&gt;0,IF('CHUNG TU'!B171&lt;&gt;"",'CHUNG TU'!B171,IF('CHUNG TU'!C171&lt;&gt;"",'CHUNG TU'!C171,'CHUNG TU'!D171)),"")</f>
      </c>
      <c r="D180" s="213">
        <f>IF($F180+$P180&lt;&gt;0,'CHUNG TU'!F171,"")</f>
      </c>
      <c r="E180" s="213">
        <f>IF($F180+$P180&lt;&gt;0,'CHUNG TU'!H171,"")</f>
      </c>
      <c r="F180" s="213">
        <f>IF(LEFT('CHUNG TU'!I171,3)='CPSXKD 642_yếu tố'!$H$7,'CHUNG TU'!$L171,0)</f>
        <v>0</v>
      </c>
      <c r="G180" s="213">
        <f>IF(G$10='CHUNG TU'!$I171,'CHUNG TU'!$L171,0)</f>
        <v>0</v>
      </c>
      <c r="H180" s="213">
        <f>IF(H$10='CHUNG TU'!$I171,'CHUNG TU'!$L171,0)</f>
        <v>0</v>
      </c>
      <c r="I180" s="213">
        <f>IF(I$10='CHUNG TU'!$I171,'CHUNG TU'!$L171,0)</f>
        <v>0</v>
      </c>
      <c r="J180" s="213">
        <f>IF(J$10='CHUNG TU'!$I171,'CHUNG TU'!$L171,0)</f>
        <v>0</v>
      </c>
      <c r="K180" s="213">
        <f>IF(K$10='CHUNG TU'!$I171,'CHUNG TU'!$L171,0)</f>
        <v>0</v>
      </c>
      <c r="L180" s="213">
        <f>IF(L$10='CHUNG TU'!$I171,'CHUNG TU'!$L171,0)</f>
        <v>0</v>
      </c>
      <c r="M180" s="213">
        <f>IF(M$10='CHUNG TU'!$I171,'CHUNG TU'!$L171,0)</f>
        <v>0</v>
      </c>
      <c r="N180" s="213">
        <f>IF(N$10='CHUNG TU'!$I171,'CHUNG TU'!$L171,0)</f>
        <v>0</v>
      </c>
      <c r="O180" s="213">
        <f>IF(F180&lt;&gt;0,'CHUNG TU'!J171,"")</f>
      </c>
      <c r="P180" s="213">
        <f>IF(LEFT('CHUNG TU'!J171,3)='CPSXKD 642_yếu tố'!$H$7,'CHUNG TU'!$L171,0)</f>
        <v>0</v>
      </c>
      <c r="Q180" s="213">
        <f>IF(P180&lt;&gt;0,'CHUNG TU'!I171,"")</f>
      </c>
    </row>
    <row r="181" spans="2:17" ht="12.75">
      <c r="B181" s="213" t="str">
        <f>IF($F181+$P181&lt;&gt;0,'CHUNG TU'!A172,"")</f>
        <v>29/10/2020</v>
      </c>
      <c r="C181" s="213" t="str">
        <f>IF($F181+$P181&lt;&gt;0,IF('CHUNG TU'!B172&lt;&gt;"",'CHUNG TU'!B172,IF('CHUNG TU'!C172&lt;&gt;"",'CHUNG TU'!C172,'CHUNG TU'!D172)),"")</f>
        <v>PKT10/050</v>
      </c>
      <c r="D181" s="213" t="str">
        <f>IF($F181+$P181&lt;&gt;0,'CHUNG TU'!F172,"")</f>
        <v>29/10/2020</v>
      </c>
      <c r="E181" s="213" t="str">
        <f>IF($F181+$P181&lt;&gt;0,'CHUNG TU'!H172,"")</f>
        <v>Phân bổ vào chi phí quản lý DN </v>
      </c>
      <c r="F181" s="213">
        <f>IF(LEFT('CHUNG TU'!I172,3)='CPSXKD 642_yếu tố'!$H$7,'CHUNG TU'!$L172,0)</f>
        <v>2500000</v>
      </c>
      <c r="G181" s="213">
        <f>IF(G$10='CHUNG TU'!$I172,'CHUNG TU'!$L172,0)</f>
        <v>0</v>
      </c>
      <c r="H181" s="213">
        <f>IF(H$10='CHUNG TU'!$I172,'CHUNG TU'!$L172,0)</f>
        <v>0</v>
      </c>
      <c r="I181" s="213">
        <f>IF(I$10='CHUNG TU'!$I172,'CHUNG TU'!$L172,0)</f>
        <v>2500000</v>
      </c>
      <c r="J181" s="213">
        <f>IF(J$10='CHUNG TU'!$I172,'CHUNG TU'!$L172,0)</f>
        <v>0</v>
      </c>
      <c r="K181" s="213">
        <f>IF(K$10='CHUNG TU'!$I172,'CHUNG TU'!$L172,0)</f>
        <v>0</v>
      </c>
      <c r="L181" s="213">
        <f>IF(L$10='CHUNG TU'!$I172,'CHUNG TU'!$L172,0)</f>
        <v>0</v>
      </c>
      <c r="M181" s="213">
        <f>IF(M$10='CHUNG TU'!$I172,'CHUNG TU'!$L172,0)</f>
        <v>0</v>
      </c>
      <c r="N181" s="213">
        <f>IF(N$10='CHUNG TU'!$I172,'CHUNG TU'!$L172,0)</f>
        <v>0</v>
      </c>
      <c r="O181" s="213" t="str">
        <f>IF(F181&lt;&gt;0,'CHUNG TU'!J172,"")</f>
        <v>2421.002</v>
      </c>
      <c r="P181" s="213">
        <f>IF(LEFT('CHUNG TU'!J172,3)='CPSXKD 642_yếu tố'!$H$7,'CHUNG TU'!$L172,0)</f>
        <v>0</v>
      </c>
      <c r="Q181" s="213">
        <f>IF(P181&lt;&gt;0,'CHUNG TU'!I172,"")</f>
      </c>
    </row>
    <row r="182" spans="2:17" ht="12.75">
      <c r="B182" s="213">
        <f>IF($F182+$P182&lt;&gt;0,'CHUNG TU'!A173,"")</f>
      </c>
      <c r="C182" s="213">
        <f>IF($F182+$P182&lt;&gt;0,IF('CHUNG TU'!B173&lt;&gt;"",'CHUNG TU'!B173,IF('CHUNG TU'!C173&lt;&gt;"",'CHUNG TU'!C173,'CHUNG TU'!D173)),"")</f>
      </c>
      <c r="D182" s="213">
        <f>IF($F182+$P182&lt;&gt;0,'CHUNG TU'!F173,"")</f>
      </c>
      <c r="E182" s="213">
        <f>IF($F182+$P182&lt;&gt;0,'CHUNG TU'!H173,"")</f>
      </c>
      <c r="F182" s="213">
        <f>IF(LEFT('CHUNG TU'!I173,3)='CPSXKD 642_yếu tố'!$H$7,'CHUNG TU'!$L173,0)</f>
        <v>0</v>
      </c>
      <c r="G182" s="213">
        <f>IF(G$10='CHUNG TU'!$I173,'CHUNG TU'!$L173,0)</f>
        <v>0</v>
      </c>
      <c r="H182" s="213">
        <f>IF(H$10='CHUNG TU'!$I173,'CHUNG TU'!$L173,0)</f>
        <v>0</v>
      </c>
      <c r="I182" s="213">
        <f>IF(I$10='CHUNG TU'!$I173,'CHUNG TU'!$L173,0)</f>
        <v>0</v>
      </c>
      <c r="J182" s="213">
        <f>IF(J$10='CHUNG TU'!$I173,'CHUNG TU'!$L173,0)</f>
        <v>0</v>
      </c>
      <c r="K182" s="213">
        <f>IF(K$10='CHUNG TU'!$I173,'CHUNG TU'!$L173,0)</f>
        <v>0</v>
      </c>
      <c r="L182" s="213">
        <f>IF(L$10='CHUNG TU'!$I173,'CHUNG TU'!$L173,0)</f>
        <v>0</v>
      </c>
      <c r="M182" s="213">
        <f>IF(M$10='CHUNG TU'!$I173,'CHUNG TU'!$L173,0)</f>
        <v>0</v>
      </c>
      <c r="N182" s="213">
        <f>IF(N$10='CHUNG TU'!$I173,'CHUNG TU'!$L173,0)</f>
        <v>0</v>
      </c>
      <c r="O182" s="213">
        <f>IF(F182&lt;&gt;0,'CHUNG TU'!J173,"")</f>
      </c>
      <c r="P182" s="213">
        <f>IF(LEFT('CHUNG TU'!J173,3)='CPSXKD 642_yếu tố'!$H$7,'CHUNG TU'!$L173,0)</f>
        <v>0</v>
      </c>
      <c r="Q182" s="213">
        <f>IF(P182&lt;&gt;0,'CHUNG TU'!I173,"")</f>
      </c>
    </row>
    <row r="183" spans="2:17" ht="12.75">
      <c r="B183" s="213">
        <f>IF($F183+$P183&lt;&gt;0,'CHUNG TU'!A174,"")</f>
      </c>
      <c r="C183" s="213">
        <f>IF($F183+$P183&lt;&gt;0,IF('CHUNG TU'!B174&lt;&gt;"",'CHUNG TU'!B174,IF('CHUNG TU'!C174&lt;&gt;"",'CHUNG TU'!C174,'CHUNG TU'!D174)),"")</f>
      </c>
      <c r="D183" s="213">
        <f>IF($F183+$P183&lt;&gt;0,'CHUNG TU'!F174,"")</f>
      </c>
      <c r="E183" s="213">
        <f>IF($F183+$P183&lt;&gt;0,'CHUNG TU'!H174,"")</f>
      </c>
      <c r="F183" s="213">
        <f>IF(LEFT('CHUNG TU'!I174,3)='CPSXKD 642_yếu tố'!$H$7,'CHUNG TU'!$L174,0)</f>
        <v>0</v>
      </c>
      <c r="G183" s="213">
        <f>IF(G$10='CHUNG TU'!$I174,'CHUNG TU'!$L174,0)</f>
        <v>0</v>
      </c>
      <c r="H183" s="213">
        <f>IF(H$10='CHUNG TU'!$I174,'CHUNG TU'!$L174,0)</f>
        <v>0</v>
      </c>
      <c r="I183" s="213">
        <f>IF(I$10='CHUNG TU'!$I174,'CHUNG TU'!$L174,0)</f>
        <v>0</v>
      </c>
      <c r="J183" s="213">
        <f>IF(J$10='CHUNG TU'!$I174,'CHUNG TU'!$L174,0)</f>
        <v>0</v>
      </c>
      <c r="K183" s="213">
        <f>IF(K$10='CHUNG TU'!$I174,'CHUNG TU'!$L174,0)</f>
        <v>0</v>
      </c>
      <c r="L183" s="213">
        <f>IF(L$10='CHUNG TU'!$I174,'CHUNG TU'!$L174,0)</f>
        <v>0</v>
      </c>
      <c r="M183" s="213">
        <f>IF(M$10='CHUNG TU'!$I174,'CHUNG TU'!$L174,0)</f>
        <v>0</v>
      </c>
      <c r="N183" s="213">
        <f>IF(N$10='CHUNG TU'!$I174,'CHUNG TU'!$L174,0)</f>
        <v>0</v>
      </c>
      <c r="O183" s="213">
        <f>IF(F183&lt;&gt;0,'CHUNG TU'!J174,"")</f>
      </c>
      <c r="P183" s="213">
        <f>IF(LEFT('CHUNG TU'!J174,3)='CPSXKD 642_yếu tố'!$H$7,'CHUNG TU'!$L174,0)</f>
        <v>0</v>
      </c>
      <c r="Q183" s="213">
        <f>IF(P183&lt;&gt;0,'CHUNG TU'!I174,"")</f>
      </c>
    </row>
    <row r="184" spans="2:17" ht="12.75">
      <c r="B184" s="213">
        <f>IF($F184+$P184&lt;&gt;0,'CHUNG TU'!A175,"")</f>
      </c>
      <c r="C184" s="213">
        <f>IF($F184+$P184&lt;&gt;0,IF('CHUNG TU'!B175&lt;&gt;"",'CHUNG TU'!B175,IF('CHUNG TU'!C175&lt;&gt;"",'CHUNG TU'!C175,'CHUNG TU'!D175)),"")</f>
      </c>
      <c r="D184" s="213">
        <f>IF($F184+$P184&lt;&gt;0,'CHUNG TU'!F175,"")</f>
      </c>
      <c r="E184" s="213">
        <f>IF($F184+$P184&lt;&gt;0,'CHUNG TU'!H175,"")</f>
      </c>
      <c r="F184" s="213">
        <f>IF(LEFT('CHUNG TU'!I175,3)='CPSXKD 642_yếu tố'!$H$7,'CHUNG TU'!$L175,0)</f>
        <v>0</v>
      </c>
      <c r="G184" s="213">
        <f>IF(G$10='CHUNG TU'!$I175,'CHUNG TU'!$L175,0)</f>
        <v>0</v>
      </c>
      <c r="H184" s="213">
        <f>IF(H$10='CHUNG TU'!$I175,'CHUNG TU'!$L175,0)</f>
        <v>0</v>
      </c>
      <c r="I184" s="213">
        <f>IF(I$10='CHUNG TU'!$I175,'CHUNG TU'!$L175,0)</f>
        <v>0</v>
      </c>
      <c r="J184" s="213">
        <f>IF(J$10='CHUNG TU'!$I175,'CHUNG TU'!$L175,0)</f>
        <v>0</v>
      </c>
      <c r="K184" s="213">
        <f>IF(K$10='CHUNG TU'!$I175,'CHUNG TU'!$L175,0)</f>
        <v>0</v>
      </c>
      <c r="L184" s="213">
        <f>IF(L$10='CHUNG TU'!$I175,'CHUNG TU'!$L175,0)</f>
        <v>0</v>
      </c>
      <c r="M184" s="213">
        <f>IF(M$10='CHUNG TU'!$I175,'CHUNG TU'!$L175,0)</f>
        <v>0</v>
      </c>
      <c r="N184" s="213">
        <f>IF(N$10='CHUNG TU'!$I175,'CHUNG TU'!$L175,0)</f>
        <v>0</v>
      </c>
      <c r="O184" s="213">
        <f>IF(F184&lt;&gt;0,'CHUNG TU'!J175,"")</f>
      </c>
      <c r="P184" s="213">
        <f>IF(LEFT('CHUNG TU'!J175,3)='CPSXKD 642_yếu tố'!$H$7,'CHUNG TU'!$L175,0)</f>
        <v>0</v>
      </c>
      <c r="Q184" s="213">
        <f>IF(P184&lt;&gt;0,'CHUNG TU'!I175,"")</f>
      </c>
    </row>
    <row r="185" spans="2:17" ht="12.75">
      <c r="B185" s="213">
        <f>IF($F185+$P185&lt;&gt;0,'CHUNG TU'!A176,"")</f>
      </c>
      <c r="C185" s="213">
        <f>IF($F185+$P185&lt;&gt;0,IF('CHUNG TU'!B176&lt;&gt;"",'CHUNG TU'!B176,IF('CHUNG TU'!C176&lt;&gt;"",'CHUNG TU'!C176,'CHUNG TU'!D176)),"")</f>
      </c>
      <c r="D185" s="213">
        <f>IF($F185+$P185&lt;&gt;0,'CHUNG TU'!F176,"")</f>
      </c>
      <c r="E185" s="213">
        <f>IF($F185+$P185&lt;&gt;0,'CHUNG TU'!H176,"")</f>
      </c>
      <c r="F185" s="213">
        <f>IF(LEFT('CHUNG TU'!I176,3)='CPSXKD 642_yếu tố'!$H$7,'CHUNG TU'!$L176,0)</f>
        <v>0</v>
      </c>
      <c r="G185" s="213">
        <f>IF(G$10='CHUNG TU'!$I176,'CHUNG TU'!$L176,0)</f>
        <v>0</v>
      </c>
      <c r="H185" s="213">
        <f>IF(H$10='CHUNG TU'!$I176,'CHUNG TU'!$L176,0)</f>
        <v>0</v>
      </c>
      <c r="I185" s="213">
        <f>IF(I$10='CHUNG TU'!$I176,'CHUNG TU'!$L176,0)</f>
        <v>0</v>
      </c>
      <c r="J185" s="213">
        <f>IF(J$10='CHUNG TU'!$I176,'CHUNG TU'!$L176,0)</f>
        <v>0</v>
      </c>
      <c r="K185" s="213">
        <f>IF(K$10='CHUNG TU'!$I176,'CHUNG TU'!$L176,0)</f>
        <v>0</v>
      </c>
      <c r="L185" s="213">
        <f>IF(L$10='CHUNG TU'!$I176,'CHUNG TU'!$L176,0)</f>
        <v>0</v>
      </c>
      <c r="M185" s="213">
        <f>IF(M$10='CHUNG TU'!$I176,'CHUNG TU'!$L176,0)</f>
        <v>0</v>
      </c>
      <c r="N185" s="213">
        <f>IF(N$10='CHUNG TU'!$I176,'CHUNG TU'!$L176,0)</f>
        <v>0</v>
      </c>
      <c r="O185" s="213">
        <f>IF(F185&lt;&gt;0,'CHUNG TU'!J176,"")</f>
      </c>
      <c r="P185" s="213">
        <f>IF(LEFT('CHUNG TU'!J176,3)='CPSXKD 642_yếu tố'!$H$7,'CHUNG TU'!$L176,0)</f>
        <v>0</v>
      </c>
      <c r="Q185" s="213">
        <f>IF(P185&lt;&gt;0,'CHUNG TU'!I176,"")</f>
      </c>
    </row>
    <row r="186" spans="2:17" ht="12.75">
      <c r="B186" s="213">
        <f>IF($F186+$P186&lt;&gt;0,'CHUNG TU'!A177,"")</f>
      </c>
      <c r="C186" s="213">
        <f>IF($F186+$P186&lt;&gt;0,IF('CHUNG TU'!B177&lt;&gt;"",'CHUNG TU'!B177,IF('CHUNG TU'!C177&lt;&gt;"",'CHUNG TU'!C177,'CHUNG TU'!D177)),"")</f>
      </c>
      <c r="D186" s="213">
        <f>IF($F186+$P186&lt;&gt;0,'CHUNG TU'!F177,"")</f>
      </c>
      <c r="E186" s="213">
        <f>IF($F186+$P186&lt;&gt;0,'CHUNG TU'!H177,"")</f>
      </c>
      <c r="F186" s="213">
        <f>IF(LEFT('CHUNG TU'!I177,3)='CPSXKD 642_yếu tố'!$H$7,'CHUNG TU'!$L177,0)</f>
        <v>0</v>
      </c>
      <c r="G186" s="213">
        <f>IF(G$10='CHUNG TU'!$I177,'CHUNG TU'!$L177,0)</f>
        <v>0</v>
      </c>
      <c r="H186" s="213">
        <f>IF(H$10='CHUNG TU'!$I177,'CHUNG TU'!$L177,0)</f>
        <v>0</v>
      </c>
      <c r="I186" s="213">
        <f>IF(I$10='CHUNG TU'!$I177,'CHUNG TU'!$L177,0)</f>
        <v>0</v>
      </c>
      <c r="J186" s="213">
        <f>IF(J$10='CHUNG TU'!$I177,'CHUNG TU'!$L177,0)</f>
        <v>0</v>
      </c>
      <c r="K186" s="213">
        <f>IF(K$10='CHUNG TU'!$I177,'CHUNG TU'!$L177,0)</f>
        <v>0</v>
      </c>
      <c r="L186" s="213">
        <f>IF(L$10='CHUNG TU'!$I177,'CHUNG TU'!$L177,0)</f>
        <v>0</v>
      </c>
      <c r="M186" s="213">
        <f>IF(M$10='CHUNG TU'!$I177,'CHUNG TU'!$L177,0)</f>
        <v>0</v>
      </c>
      <c r="N186" s="213">
        <f>IF(N$10='CHUNG TU'!$I177,'CHUNG TU'!$L177,0)</f>
        <v>0</v>
      </c>
      <c r="O186" s="213">
        <f>IF(F186&lt;&gt;0,'CHUNG TU'!J177,"")</f>
      </c>
      <c r="P186" s="213">
        <f>IF(LEFT('CHUNG TU'!J177,3)='CPSXKD 642_yếu tố'!$H$7,'CHUNG TU'!$L177,0)</f>
        <v>0</v>
      </c>
      <c r="Q186" s="213">
        <f>IF(P186&lt;&gt;0,'CHUNG TU'!I177,"")</f>
      </c>
    </row>
    <row r="187" spans="2:17" ht="12.75">
      <c r="B187" s="213">
        <f>IF($F187+$P187&lt;&gt;0,'CHUNG TU'!A178,"")</f>
      </c>
      <c r="C187" s="213">
        <f>IF($F187+$P187&lt;&gt;0,IF('CHUNG TU'!B178&lt;&gt;"",'CHUNG TU'!B178,IF('CHUNG TU'!C178&lt;&gt;"",'CHUNG TU'!C178,'CHUNG TU'!D178)),"")</f>
      </c>
      <c r="D187" s="213">
        <f>IF($F187+$P187&lt;&gt;0,'CHUNG TU'!F178,"")</f>
      </c>
      <c r="E187" s="213">
        <f>IF($F187+$P187&lt;&gt;0,'CHUNG TU'!H178,"")</f>
      </c>
      <c r="F187" s="213">
        <f>IF(LEFT('CHUNG TU'!I178,3)='CPSXKD 642_yếu tố'!$H$7,'CHUNG TU'!$L178,0)</f>
        <v>0</v>
      </c>
      <c r="G187" s="213">
        <f>IF(G$10='CHUNG TU'!$I178,'CHUNG TU'!$L178,0)</f>
        <v>0</v>
      </c>
      <c r="H187" s="213">
        <f>IF(H$10='CHUNG TU'!$I178,'CHUNG TU'!$L178,0)</f>
        <v>0</v>
      </c>
      <c r="I187" s="213">
        <f>IF(I$10='CHUNG TU'!$I178,'CHUNG TU'!$L178,0)</f>
        <v>0</v>
      </c>
      <c r="J187" s="213">
        <f>IF(J$10='CHUNG TU'!$I178,'CHUNG TU'!$L178,0)</f>
        <v>0</v>
      </c>
      <c r="K187" s="213">
        <f>IF(K$10='CHUNG TU'!$I178,'CHUNG TU'!$L178,0)</f>
        <v>0</v>
      </c>
      <c r="L187" s="213">
        <f>IF(L$10='CHUNG TU'!$I178,'CHUNG TU'!$L178,0)</f>
        <v>0</v>
      </c>
      <c r="M187" s="213">
        <f>IF(M$10='CHUNG TU'!$I178,'CHUNG TU'!$L178,0)</f>
        <v>0</v>
      </c>
      <c r="N187" s="213">
        <f>IF(N$10='CHUNG TU'!$I178,'CHUNG TU'!$L178,0)</f>
        <v>0</v>
      </c>
      <c r="O187" s="213">
        <f>IF(F187&lt;&gt;0,'CHUNG TU'!J178,"")</f>
      </c>
      <c r="P187" s="213">
        <f>IF(LEFT('CHUNG TU'!J178,3)='CPSXKD 642_yếu tố'!$H$7,'CHUNG TU'!$L178,0)</f>
        <v>0</v>
      </c>
      <c r="Q187" s="213">
        <f>IF(P187&lt;&gt;0,'CHUNG TU'!I178,"")</f>
      </c>
    </row>
    <row r="188" spans="2:17" ht="12.75">
      <c r="B188" s="213">
        <f>IF($F188+$P188&lt;&gt;0,'CHUNG TU'!A179,"")</f>
      </c>
      <c r="C188" s="213">
        <f>IF($F188+$P188&lt;&gt;0,IF('CHUNG TU'!B179&lt;&gt;"",'CHUNG TU'!B179,IF('CHUNG TU'!C179&lt;&gt;"",'CHUNG TU'!C179,'CHUNG TU'!D179)),"")</f>
      </c>
      <c r="D188" s="213">
        <f>IF($F188+$P188&lt;&gt;0,'CHUNG TU'!F179,"")</f>
      </c>
      <c r="E188" s="213">
        <f>IF($F188+$P188&lt;&gt;0,'CHUNG TU'!H179,"")</f>
      </c>
      <c r="F188" s="213">
        <f>IF(LEFT('CHUNG TU'!I179,3)='CPSXKD 642_yếu tố'!$H$7,'CHUNG TU'!$L179,0)</f>
        <v>0</v>
      </c>
      <c r="G188" s="213">
        <f>IF(G$10='CHUNG TU'!$I179,'CHUNG TU'!$L179,0)</f>
        <v>0</v>
      </c>
      <c r="H188" s="213">
        <f>IF(H$10='CHUNG TU'!$I179,'CHUNG TU'!$L179,0)</f>
        <v>0</v>
      </c>
      <c r="I188" s="213">
        <f>IF(I$10='CHUNG TU'!$I179,'CHUNG TU'!$L179,0)</f>
        <v>0</v>
      </c>
      <c r="J188" s="213">
        <f>IF(J$10='CHUNG TU'!$I179,'CHUNG TU'!$L179,0)</f>
        <v>0</v>
      </c>
      <c r="K188" s="213">
        <f>IF(K$10='CHUNG TU'!$I179,'CHUNG TU'!$L179,0)</f>
        <v>0</v>
      </c>
      <c r="L188" s="213">
        <f>IF(L$10='CHUNG TU'!$I179,'CHUNG TU'!$L179,0)</f>
        <v>0</v>
      </c>
      <c r="M188" s="213">
        <f>IF(M$10='CHUNG TU'!$I179,'CHUNG TU'!$L179,0)</f>
        <v>0</v>
      </c>
      <c r="N188" s="213">
        <f>IF(N$10='CHUNG TU'!$I179,'CHUNG TU'!$L179,0)</f>
        <v>0</v>
      </c>
      <c r="O188" s="213">
        <f>IF(F188&lt;&gt;0,'CHUNG TU'!J179,"")</f>
      </c>
      <c r="P188" s="213">
        <f>IF(LEFT('CHUNG TU'!J179,3)='CPSXKD 642_yếu tố'!$H$7,'CHUNG TU'!$L179,0)</f>
        <v>0</v>
      </c>
      <c r="Q188" s="213">
        <f>IF(P188&lt;&gt;0,'CHUNG TU'!I179,"")</f>
      </c>
    </row>
    <row r="189" spans="2:17" ht="12.75">
      <c r="B189" s="213">
        <f>IF($F189+$P189&lt;&gt;0,'CHUNG TU'!A180,"")</f>
      </c>
      <c r="C189" s="213">
        <f>IF($F189+$P189&lt;&gt;0,IF('CHUNG TU'!B180&lt;&gt;"",'CHUNG TU'!B180,IF('CHUNG TU'!C180&lt;&gt;"",'CHUNG TU'!C180,'CHUNG TU'!D180)),"")</f>
      </c>
      <c r="D189" s="213">
        <f>IF($F189+$P189&lt;&gt;0,'CHUNG TU'!F180,"")</f>
      </c>
      <c r="E189" s="213">
        <f>IF($F189+$P189&lt;&gt;0,'CHUNG TU'!H180,"")</f>
      </c>
      <c r="F189" s="213">
        <f>IF(LEFT('CHUNG TU'!I180,3)='CPSXKD 642_yếu tố'!$H$7,'CHUNG TU'!$L180,0)</f>
        <v>0</v>
      </c>
      <c r="G189" s="213">
        <f>IF(G$10='CHUNG TU'!$I180,'CHUNG TU'!$L180,0)</f>
        <v>0</v>
      </c>
      <c r="H189" s="213">
        <f>IF(H$10='CHUNG TU'!$I180,'CHUNG TU'!$L180,0)</f>
        <v>0</v>
      </c>
      <c r="I189" s="213">
        <f>IF(I$10='CHUNG TU'!$I180,'CHUNG TU'!$L180,0)</f>
        <v>0</v>
      </c>
      <c r="J189" s="213">
        <f>IF(J$10='CHUNG TU'!$I180,'CHUNG TU'!$L180,0)</f>
        <v>0</v>
      </c>
      <c r="K189" s="213">
        <f>IF(K$10='CHUNG TU'!$I180,'CHUNG TU'!$L180,0)</f>
        <v>0</v>
      </c>
      <c r="L189" s="213">
        <f>IF(L$10='CHUNG TU'!$I180,'CHUNG TU'!$L180,0)</f>
        <v>0</v>
      </c>
      <c r="M189" s="213">
        <f>IF(M$10='CHUNG TU'!$I180,'CHUNG TU'!$L180,0)</f>
        <v>0</v>
      </c>
      <c r="N189" s="213">
        <f>IF(N$10='CHUNG TU'!$I180,'CHUNG TU'!$L180,0)</f>
        <v>0</v>
      </c>
      <c r="O189" s="213">
        <f>IF(F189&lt;&gt;0,'CHUNG TU'!J180,"")</f>
      </c>
      <c r="P189" s="213">
        <f>IF(LEFT('CHUNG TU'!J180,3)='CPSXKD 642_yếu tố'!$H$7,'CHUNG TU'!$L180,0)</f>
        <v>0</v>
      </c>
      <c r="Q189" s="213">
        <f>IF(P189&lt;&gt;0,'CHUNG TU'!I180,"")</f>
      </c>
    </row>
    <row r="190" spans="2:17" ht="12.75">
      <c r="B190" s="213" t="str">
        <f>IF($F190+$P190&lt;&gt;0,'CHUNG TU'!A181,"")</f>
        <v>29/10/2020</v>
      </c>
      <c r="C190" s="213" t="str">
        <f>IF($F190+$P190&lt;&gt;0,IF('CHUNG TU'!B181&lt;&gt;"",'CHUNG TU'!B181,IF('CHUNG TU'!C181&lt;&gt;"",'CHUNG TU'!C181,'CHUNG TU'!D181)),"")</f>
        <v>PKT10/056</v>
      </c>
      <c r="D190" s="213" t="str">
        <f>IF($F190+$P190&lt;&gt;0,'CHUNG TU'!F181,"")</f>
        <v>29/10/2020</v>
      </c>
      <c r="E190" s="213" t="str">
        <f>IF($F190+$P190&lt;&gt;0,'CHUNG TU'!H181,"")</f>
        <v>Thanh toán tiền tạm ứng của Nguyễn Minh Ngân</v>
      </c>
      <c r="F190" s="213">
        <f>IF(LEFT('CHUNG TU'!I181,3)='CPSXKD 642_yếu tố'!$H$7,'CHUNG TU'!$L181,0)</f>
        <v>600000</v>
      </c>
      <c r="G190" s="213">
        <f>IF(G$10='CHUNG TU'!$I181,'CHUNG TU'!$L181,0)</f>
        <v>0</v>
      </c>
      <c r="H190" s="213">
        <f>IF(H$10='CHUNG TU'!$I181,'CHUNG TU'!$L181,0)</f>
        <v>0</v>
      </c>
      <c r="I190" s="213">
        <f>IF(I$10='CHUNG TU'!$I181,'CHUNG TU'!$L181,0)</f>
        <v>0</v>
      </c>
      <c r="J190" s="213">
        <f>IF(J$10='CHUNG TU'!$I181,'CHUNG TU'!$L181,0)</f>
        <v>0</v>
      </c>
      <c r="K190" s="213">
        <f>IF(K$10='CHUNG TU'!$I181,'CHUNG TU'!$L181,0)</f>
        <v>0</v>
      </c>
      <c r="L190" s="213">
        <f>IF(L$10='CHUNG TU'!$I181,'CHUNG TU'!$L181,0)</f>
        <v>0</v>
      </c>
      <c r="M190" s="213">
        <f>IF(M$10='CHUNG TU'!$I181,'CHUNG TU'!$L181,0)</f>
        <v>0</v>
      </c>
      <c r="N190" s="213">
        <f>IF(N$10='CHUNG TU'!$I181,'CHUNG TU'!$L181,0)</f>
        <v>600000</v>
      </c>
      <c r="O190" s="213" t="str">
        <f>IF(F190&lt;&gt;0,'CHUNG TU'!J181,"")</f>
        <v>141.001</v>
      </c>
      <c r="P190" s="213">
        <f>IF(LEFT('CHUNG TU'!J181,3)='CPSXKD 642_yếu tố'!$H$7,'CHUNG TU'!$L181,0)</f>
        <v>0</v>
      </c>
      <c r="Q190" s="213">
        <f>IF(P190&lt;&gt;0,'CHUNG TU'!I181,"")</f>
      </c>
    </row>
    <row r="191" spans="2:17" ht="12.75">
      <c r="B191" s="213">
        <f>IF($F191+$P191&lt;&gt;0,'CHUNG TU'!A182,"")</f>
      </c>
      <c r="C191" s="213">
        <f>IF($F191+$P191&lt;&gt;0,IF('CHUNG TU'!B182&lt;&gt;"",'CHUNG TU'!B182,IF('CHUNG TU'!C182&lt;&gt;"",'CHUNG TU'!C182,'CHUNG TU'!D182)),"")</f>
      </c>
      <c r="D191" s="213">
        <f>IF($F191+$P191&lt;&gt;0,'CHUNG TU'!F182,"")</f>
      </c>
      <c r="E191" s="213">
        <f>IF($F191+$P191&lt;&gt;0,'CHUNG TU'!H182,"")</f>
      </c>
      <c r="F191" s="213">
        <f>IF(LEFT('CHUNG TU'!I182,3)='CPSXKD 642_yếu tố'!$H$7,'CHUNG TU'!$L182,0)</f>
        <v>0</v>
      </c>
      <c r="G191" s="213">
        <f>IF(G$10='CHUNG TU'!$I182,'CHUNG TU'!$L182,0)</f>
        <v>0</v>
      </c>
      <c r="H191" s="213">
        <f>IF(H$10='CHUNG TU'!$I182,'CHUNG TU'!$L182,0)</f>
        <v>0</v>
      </c>
      <c r="I191" s="213">
        <f>IF(I$10='CHUNG TU'!$I182,'CHUNG TU'!$L182,0)</f>
        <v>0</v>
      </c>
      <c r="J191" s="213">
        <f>IF(J$10='CHUNG TU'!$I182,'CHUNG TU'!$L182,0)</f>
        <v>0</v>
      </c>
      <c r="K191" s="213">
        <f>IF(K$10='CHUNG TU'!$I182,'CHUNG TU'!$L182,0)</f>
        <v>0</v>
      </c>
      <c r="L191" s="213">
        <f>IF(L$10='CHUNG TU'!$I182,'CHUNG TU'!$L182,0)</f>
        <v>0</v>
      </c>
      <c r="M191" s="213">
        <f>IF(M$10='CHUNG TU'!$I182,'CHUNG TU'!$L182,0)</f>
        <v>0</v>
      </c>
      <c r="N191" s="213">
        <f>IF(N$10='CHUNG TU'!$I182,'CHUNG TU'!$L182,0)</f>
        <v>0</v>
      </c>
      <c r="O191" s="213">
        <f>IF(F191&lt;&gt;0,'CHUNG TU'!J182,"")</f>
      </c>
      <c r="P191" s="213">
        <f>IF(LEFT('CHUNG TU'!J182,3)='CPSXKD 642_yếu tố'!$H$7,'CHUNG TU'!$L182,0)</f>
        <v>0</v>
      </c>
      <c r="Q191" s="213">
        <f>IF(P191&lt;&gt;0,'CHUNG TU'!I182,"")</f>
      </c>
    </row>
    <row r="192" spans="2:17" ht="12.75">
      <c r="B192" s="213">
        <f>IF($F192+$P192&lt;&gt;0,'CHUNG TU'!A183,"")</f>
      </c>
      <c r="C192" s="213">
        <f>IF($F192+$P192&lt;&gt;0,IF('CHUNG TU'!B183&lt;&gt;"",'CHUNG TU'!B183,IF('CHUNG TU'!C183&lt;&gt;"",'CHUNG TU'!C183,'CHUNG TU'!D183)),"")</f>
      </c>
      <c r="D192" s="213">
        <f>IF($F192+$P192&lt;&gt;0,'CHUNG TU'!F183,"")</f>
      </c>
      <c r="E192" s="213">
        <f>IF($F192+$P192&lt;&gt;0,'CHUNG TU'!H183,"")</f>
      </c>
      <c r="F192" s="213">
        <f>IF(LEFT('CHUNG TU'!I183,3)='CPSXKD 642_yếu tố'!$H$7,'CHUNG TU'!$L183,0)</f>
        <v>0</v>
      </c>
      <c r="G192" s="213">
        <f>IF(G$10='CHUNG TU'!$I183,'CHUNG TU'!$L183,0)</f>
        <v>0</v>
      </c>
      <c r="H192" s="213">
        <f>IF(H$10='CHUNG TU'!$I183,'CHUNG TU'!$L183,0)</f>
        <v>0</v>
      </c>
      <c r="I192" s="213">
        <f>IF(I$10='CHUNG TU'!$I183,'CHUNG TU'!$L183,0)</f>
        <v>0</v>
      </c>
      <c r="J192" s="213">
        <f>IF(J$10='CHUNG TU'!$I183,'CHUNG TU'!$L183,0)</f>
        <v>0</v>
      </c>
      <c r="K192" s="213">
        <f>IF(K$10='CHUNG TU'!$I183,'CHUNG TU'!$L183,0)</f>
        <v>0</v>
      </c>
      <c r="L192" s="213">
        <f>IF(L$10='CHUNG TU'!$I183,'CHUNG TU'!$L183,0)</f>
        <v>0</v>
      </c>
      <c r="M192" s="213">
        <f>IF(M$10='CHUNG TU'!$I183,'CHUNG TU'!$L183,0)</f>
        <v>0</v>
      </c>
      <c r="N192" s="213">
        <f>IF(N$10='CHUNG TU'!$I183,'CHUNG TU'!$L183,0)</f>
        <v>0</v>
      </c>
      <c r="O192" s="213">
        <f>IF(F192&lt;&gt;0,'CHUNG TU'!J183,"")</f>
      </c>
      <c r="P192" s="213">
        <f>IF(LEFT('CHUNG TU'!J183,3)='CPSXKD 642_yếu tố'!$H$7,'CHUNG TU'!$L183,0)</f>
        <v>0</v>
      </c>
      <c r="Q192" s="213">
        <f>IF(P192&lt;&gt;0,'CHUNG TU'!I183,"")</f>
      </c>
    </row>
    <row r="193" spans="2:17" ht="12.75">
      <c r="B193" s="213">
        <f>IF($F193+$P193&lt;&gt;0,'CHUNG TU'!A184,"")</f>
      </c>
      <c r="C193" s="213">
        <f>IF($F193+$P193&lt;&gt;0,IF('CHUNG TU'!B184&lt;&gt;"",'CHUNG TU'!B184,IF('CHUNG TU'!C184&lt;&gt;"",'CHUNG TU'!C184,'CHUNG TU'!D184)),"")</f>
      </c>
      <c r="D193" s="213">
        <f>IF($F193+$P193&lt;&gt;0,'CHUNG TU'!F184,"")</f>
      </c>
      <c r="E193" s="213">
        <f>IF($F193+$P193&lt;&gt;0,'CHUNG TU'!H184,"")</f>
      </c>
      <c r="F193" s="213">
        <f>IF(LEFT('CHUNG TU'!I184,3)='CPSXKD 642_yếu tố'!$H$7,'CHUNG TU'!$L184,0)</f>
        <v>0</v>
      </c>
      <c r="G193" s="213">
        <f>IF(G$10='CHUNG TU'!$I184,'CHUNG TU'!$L184,0)</f>
        <v>0</v>
      </c>
      <c r="H193" s="213">
        <f>IF(H$10='CHUNG TU'!$I184,'CHUNG TU'!$L184,0)</f>
        <v>0</v>
      </c>
      <c r="I193" s="213">
        <f>IF(I$10='CHUNG TU'!$I184,'CHUNG TU'!$L184,0)</f>
        <v>0</v>
      </c>
      <c r="J193" s="213">
        <f>IF(J$10='CHUNG TU'!$I184,'CHUNG TU'!$L184,0)</f>
        <v>0</v>
      </c>
      <c r="K193" s="213">
        <f>IF(K$10='CHUNG TU'!$I184,'CHUNG TU'!$L184,0)</f>
        <v>0</v>
      </c>
      <c r="L193" s="213">
        <f>IF(L$10='CHUNG TU'!$I184,'CHUNG TU'!$L184,0)</f>
        <v>0</v>
      </c>
      <c r="M193" s="213">
        <f>IF(M$10='CHUNG TU'!$I184,'CHUNG TU'!$L184,0)</f>
        <v>0</v>
      </c>
      <c r="N193" s="213">
        <f>IF(N$10='CHUNG TU'!$I184,'CHUNG TU'!$L184,0)</f>
        <v>0</v>
      </c>
      <c r="O193" s="213">
        <f>IF(F193&lt;&gt;0,'CHUNG TU'!J184,"")</f>
      </c>
      <c r="P193" s="213">
        <f>IF(LEFT('CHUNG TU'!J184,3)='CPSXKD 642_yếu tố'!$H$7,'CHUNG TU'!$L184,0)</f>
        <v>0</v>
      </c>
      <c r="Q193" s="213">
        <f>IF(P193&lt;&gt;0,'CHUNG TU'!I184,"")</f>
      </c>
    </row>
    <row r="194" spans="2:17" ht="12.75">
      <c r="B194" s="213" t="str">
        <f>IF($F194+$P194&lt;&gt;0,'CHUNG TU'!A185,"")</f>
        <v>29/10/2020</v>
      </c>
      <c r="C194" s="213" t="str">
        <f>IF($F194+$P194&lt;&gt;0,IF('CHUNG TU'!B185&lt;&gt;"",'CHUNG TU'!B185,IF('CHUNG TU'!C185&lt;&gt;"",'CHUNG TU'!C185,'CHUNG TU'!D185)),"")</f>
        <v>PX 10/012NVL</v>
      </c>
      <c r="D194" s="213" t="str">
        <f>IF($F194+$P194&lt;&gt;0,'CHUNG TU'!F185,"")</f>
        <v>29/10/2020</v>
      </c>
      <c r="E194" s="213" t="str">
        <f>IF($F194+$P194&lt;&gt;0,'CHUNG TU'!H185,"")</f>
        <v>Xuất PTTT sửa chữa thường xuyên TSCĐ</v>
      </c>
      <c r="F194" s="213">
        <f>IF(LEFT('CHUNG TU'!I185,3)='CPSXKD 642_yếu tố'!$H$7,'CHUNG TU'!$L185,0)</f>
        <v>72760</v>
      </c>
      <c r="G194" s="213">
        <f>IF(G$10='CHUNG TU'!$I185,'CHUNG TU'!$L185,0)</f>
        <v>0</v>
      </c>
      <c r="H194" s="213">
        <f>IF(H$10='CHUNG TU'!$I185,'CHUNG TU'!$L185,0)</f>
        <v>72760</v>
      </c>
      <c r="I194" s="213">
        <f>IF(I$10='CHUNG TU'!$I185,'CHUNG TU'!$L185,0)</f>
        <v>0</v>
      </c>
      <c r="J194" s="213">
        <f>IF(J$10='CHUNG TU'!$I185,'CHUNG TU'!$L185,0)</f>
        <v>0</v>
      </c>
      <c r="K194" s="213">
        <f>IF(K$10='CHUNG TU'!$I185,'CHUNG TU'!$L185,0)</f>
        <v>0</v>
      </c>
      <c r="L194" s="213">
        <f>IF(L$10='CHUNG TU'!$I185,'CHUNG TU'!$L185,0)</f>
        <v>0</v>
      </c>
      <c r="M194" s="213">
        <f>IF(M$10='CHUNG TU'!$I185,'CHUNG TU'!$L185,0)</f>
        <v>0</v>
      </c>
      <c r="N194" s="213">
        <f>IF(N$10='CHUNG TU'!$I185,'CHUNG TU'!$L185,0)</f>
        <v>0</v>
      </c>
      <c r="O194" s="213" t="str">
        <f>IF(F194&lt;&gt;0,'CHUNG TU'!J185,"")</f>
        <v>1524.D01</v>
      </c>
      <c r="P194" s="213">
        <f>IF(LEFT('CHUNG TU'!J185,3)='CPSXKD 642_yếu tố'!$H$7,'CHUNG TU'!$L185,0)</f>
        <v>0</v>
      </c>
      <c r="Q194" s="213">
        <f>IF(P194&lt;&gt;0,'CHUNG TU'!I185,"")</f>
      </c>
    </row>
    <row r="195" spans="2:17" ht="12.75">
      <c r="B195" s="213">
        <f>IF($F195+$P195&lt;&gt;0,'CHUNG TU'!A186,"")</f>
      </c>
      <c r="C195" s="213">
        <f>IF($F195+$P195&lt;&gt;0,IF('CHUNG TU'!B186&lt;&gt;"",'CHUNG TU'!B186,IF('CHUNG TU'!C186&lt;&gt;"",'CHUNG TU'!C186,'CHUNG TU'!D186)),"")</f>
      </c>
      <c r="D195" s="213">
        <f>IF($F195+$P195&lt;&gt;0,'CHUNG TU'!F186,"")</f>
      </c>
      <c r="E195" s="213">
        <f>IF($F195+$P195&lt;&gt;0,'CHUNG TU'!H186,"")</f>
      </c>
      <c r="F195" s="213">
        <f>IF(LEFT('CHUNG TU'!I186,3)='CPSXKD 642_yếu tố'!$H$7,'CHUNG TU'!$L186,0)</f>
        <v>0</v>
      </c>
      <c r="G195" s="213">
        <f>IF(G$10='CHUNG TU'!$I186,'CHUNG TU'!$L186,0)</f>
        <v>0</v>
      </c>
      <c r="H195" s="213">
        <f>IF(H$10='CHUNG TU'!$I186,'CHUNG TU'!$L186,0)</f>
        <v>0</v>
      </c>
      <c r="I195" s="213">
        <f>IF(I$10='CHUNG TU'!$I186,'CHUNG TU'!$L186,0)</f>
        <v>0</v>
      </c>
      <c r="J195" s="213">
        <f>IF(J$10='CHUNG TU'!$I186,'CHUNG TU'!$L186,0)</f>
        <v>0</v>
      </c>
      <c r="K195" s="213">
        <f>IF(K$10='CHUNG TU'!$I186,'CHUNG TU'!$L186,0)</f>
        <v>0</v>
      </c>
      <c r="L195" s="213">
        <f>IF(L$10='CHUNG TU'!$I186,'CHUNG TU'!$L186,0)</f>
        <v>0</v>
      </c>
      <c r="M195" s="213">
        <f>IF(M$10='CHUNG TU'!$I186,'CHUNG TU'!$L186,0)</f>
        <v>0</v>
      </c>
      <c r="N195" s="213">
        <f>IF(N$10='CHUNG TU'!$I186,'CHUNG TU'!$L186,0)</f>
        <v>0</v>
      </c>
      <c r="O195" s="213">
        <f>IF(F195&lt;&gt;0,'CHUNG TU'!J186,"")</f>
      </c>
      <c r="P195" s="213">
        <f>IF(LEFT('CHUNG TU'!J186,3)='CPSXKD 642_yếu tố'!$H$7,'CHUNG TU'!$L186,0)</f>
        <v>0</v>
      </c>
      <c r="Q195" s="213">
        <f>IF(P195&lt;&gt;0,'CHUNG TU'!I186,"")</f>
      </c>
    </row>
    <row r="196" spans="2:17" ht="12.75">
      <c r="B196" s="213">
        <f>IF($F196+$P196&lt;&gt;0,'CHUNG TU'!A187,"")</f>
      </c>
      <c r="C196" s="213">
        <f>IF($F196+$P196&lt;&gt;0,IF('CHUNG TU'!B187&lt;&gt;"",'CHUNG TU'!B187,IF('CHUNG TU'!C187&lt;&gt;"",'CHUNG TU'!C187,'CHUNG TU'!D187)),"")</f>
      </c>
      <c r="D196" s="213">
        <f>IF($F196+$P196&lt;&gt;0,'CHUNG TU'!F187,"")</f>
      </c>
      <c r="E196" s="213">
        <f>IF($F196+$P196&lt;&gt;0,'CHUNG TU'!H187,"")</f>
      </c>
      <c r="F196" s="213">
        <f>IF(LEFT('CHUNG TU'!I187,3)='CPSXKD 642_yếu tố'!$H$7,'CHUNG TU'!$L187,0)</f>
        <v>0</v>
      </c>
      <c r="G196" s="213">
        <f>IF(G$10='CHUNG TU'!$I187,'CHUNG TU'!$L187,0)</f>
        <v>0</v>
      </c>
      <c r="H196" s="213">
        <f>IF(H$10='CHUNG TU'!$I187,'CHUNG TU'!$L187,0)</f>
        <v>0</v>
      </c>
      <c r="I196" s="213">
        <f>IF(I$10='CHUNG TU'!$I187,'CHUNG TU'!$L187,0)</f>
        <v>0</v>
      </c>
      <c r="J196" s="213">
        <f>IF(J$10='CHUNG TU'!$I187,'CHUNG TU'!$L187,0)</f>
        <v>0</v>
      </c>
      <c r="K196" s="213">
        <f>IF(K$10='CHUNG TU'!$I187,'CHUNG TU'!$L187,0)</f>
        <v>0</v>
      </c>
      <c r="L196" s="213">
        <f>IF(L$10='CHUNG TU'!$I187,'CHUNG TU'!$L187,0)</f>
        <v>0</v>
      </c>
      <c r="M196" s="213">
        <f>IF(M$10='CHUNG TU'!$I187,'CHUNG TU'!$L187,0)</f>
        <v>0</v>
      </c>
      <c r="N196" s="213">
        <f>IF(N$10='CHUNG TU'!$I187,'CHUNG TU'!$L187,0)</f>
        <v>0</v>
      </c>
      <c r="O196" s="213">
        <f>IF(F196&lt;&gt;0,'CHUNG TU'!J187,"")</f>
      </c>
      <c r="P196" s="213">
        <f>IF(LEFT('CHUNG TU'!J187,3)='CPSXKD 642_yếu tố'!$H$7,'CHUNG TU'!$L187,0)</f>
        <v>0</v>
      </c>
      <c r="Q196" s="213">
        <f>IF(P196&lt;&gt;0,'CHUNG TU'!I187,"")</f>
      </c>
    </row>
    <row r="197" spans="2:17" ht="12.75">
      <c r="B197" s="213" t="str">
        <f>IF($F197+$P197&lt;&gt;0,'CHUNG TU'!A188,"")</f>
        <v>29/10/2020</v>
      </c>
      <c r="C197" s="213" t="str">
        <f>IF($F197+$P197&lt;&gt;0,IF('CHUNG TU'!B188&lt;&gt;"",'CHUNG TU'!B188,IF('CHUNG TU'!C188&lt;&gt;"",'CHUNG TU'!C188,'CHUNG TU'!D188)),"")</f>
        <v>PKT10/058</v>
      </c>
      <c r="D197" s="213" t="str">
        <f>IF($F197+$P197&lt;&gt;0,'CHUNG TU'!F188,"")</f>
        <v>29/10/2020</v>
      </c>
      <c r="E197" s="213" t="str">
        <f>IF($F197+$P197&lt;&gt;0,'CHUNG TU'!H188,"")</f>
        <v>Thanh toán tạm ứng tiền công tác phí</v>
      </c>
      <c r="F197" s="213">
        <f>IF(LEFT('CHUNG TU'!I188,3)='CPSXKD 642_yếu tố'!$H$7,'CHUNG TU'!$L188,0)</f>
        <v>300000</v>
      </c>
      <c r="G197" s="213">
        <f>IF(G$10='CHUNG TU'!$I188,'CHUNG TU'!$L188,0)</f>
        <v>0</v>
      </c>
      <c r="H197" s="213">
        <f>IF(H$10='CHUNG TU'!$I188,'CHUNG TU'!$L188,0)</f>
        <v>0</v>
      </c>
      <c r="I197" s="213">
        <f>IF(I$10='CHUNG TU'!$I188,'CHUNG TU'!$L188,0)</f>
        <v>0</v>
      </c>
      <c r="J197" s="213">
        <f>IF(J$10='CHUNG TU'!$I188,'CHUNG TU'!$L188,0)</f>
        <v>0</v>
      </c>
      <c r="K197" s="213">
        <f>IF(K$10='CHUNG TU'!$I188,'CHUNG TU'!$L188,0)</f>
        <v>0</v>
      </c>
      <c r="L197" s="213">
        <f>IF(L$10='CHUNG TU'!$I188,'CHUNG TU'!$L188,0)</f>
        <v>0</v>
      </c>
      <c r="M197" s="213">
        <f>IF(M$10='CHUNG TU'!$I188,'CHUNG TU'!$L188,0)</f>
        <v>0</v>
      </c>
      <c r="N197" s="213">
        <f>IF(N$10='CHUNG TU'!$I188,'CHUNG TU'!$L188,0)</f>
        <v>300000</v>
      </c>
      <c r="O197" s="213" t="str">
        <f>IF(F197&lt;&gt;0,'CHUNG TU'!J188,"")</f>
        <v>141.001</v>
      </c>
      <c r="P197" s="213">
        <f>IF(LEFT('CHUNG TU'!J188,3)='CPSXKD 642_yếu tố'!$H$7,'CHUNG TU'!$L188,0)</f>
        <v>0</v>
      </c>
      <c r="Q197" s="213">
        <f>IF(P197&lt;&gt;0,'CHUNG TU'!I188,"")</f>
      </c>
    </row>
    <row r="198" spans="2:17" ht="12.75">
      <c r="B198" s="213">
        <f>IF($F198+$P198&lt;&gt;0,'CHUNG TU'!A189,"")</f>
      </c>
      <c r="C198" s="213">
        <f>IF($F198+$P198&lt;&gt;0,IF('CHUNG TU'!B189&lt;&gt;"",'CHUNG TU'!B189,IF('CHUNG TU'!C189&lt;&gt;"",'CHUNG TU'!C189,'CHUNG TU'!D189)),"")</f>
      </c>
      <c r="D198" s="213">
        <f>IF($F198+$P198&lt;&gt;0,'CHUNG TU'!F189,"")</f>
      </c>
      <c r="E198" s="213">
        <f>IF($F198+$P198&lt;&gt;0,'CHUNG TU'!H189,"")</f>
      </c>
      <c r="F198" s="213">
        <f>IF(LEFT('CHUNG TU'!I189,3)='CPSXKD 642_yếu tố'!$H$7,'CHUNG TU'!$L189,0)</f>
        <v>0</v>
      </c>
      <c r="G198" s="213">
        <f>IF(G$10='CHUNG TU'!$I189,'CHUNG TU'!$L189,0)</f>
        <v>0</v>
      </c>
      <c r="H198" s="213">
        <f>IF(H$10='CHUNG TU'!$I189,'CHUNG TU'!$L189,0)</f>
        <v>0</v>
      </c>
      <c r="I198" s="213">
        <f>IF(I$10='CHUNG TU'!$I189,'CHUNG TU'!$L189,0)</f>
        <v>0</v>
      </c>
      <c r="J198" s="213">
        <f>IF(J$10='CHUNG TU'!$I189,'CHUNG TU'!$L189,0)</f>
        <v>0</v>
      </c>
      <c r="K198" s="213">
        <f>IF(K$10='CHUNG TU'!$I189,'CHUNG TU'!$L189,0)</f>
        <v>0</v>
      </c>
      <c r="L198" s="213">
        <f>IF(L$10='CHUNG TU'!$I189,'CHUNG TU'!$L189,0)</f>
        <v>0</v>
      </c>
      <c r="M198" s="213">
        <f>IF(M$10='CHUNG TU'!$I189,'CHUNG TU'!$L189,0)</f>
        <v>0</v>
      </c>
      <c r="N198" s="213">
        <f>IF(N$10='CHUNG TU'!$I189,'CHUNG TU'!$L189,0)</f>
        <v>0</v>
      </c>
      <c r="O198" s="213">
        <f>IF(F198&lt;&gt;0,'CHUNG TU'!J189,"")</f>
      </c>
      <c r="P198" s="213">
        <f>IF(LEFT('CHUNG TU'!J189,3)='CPSXKD 642_yếu tố'!$H$7,'CHUNG TU'!$L189,0)</f>
        <v>0</v>
      </c>
      <c r="Q198" s="213">
        <f>IF(P198&lt;&gt;0,'CHUNG TU'!I189,"")</f>
      </c>
    </row>
    <row r="199" spans="2:17" ht="12.75">
      <c r="B199" s="213">
        <f>IF($F199+$P199&lt;&gt;0,'CHUNG TU'!A190,"")</f>
      </c>
      <c r="C199" s="213">
        <f>IF($F199+$P199&lt;&gt;0,IF('CHUNG TU'!B190&lt;&gt;"",'CHUNG TU'!B190,IF('CHUNG TU'!C190&lt;&gt;"",'CHUNG TU'!C190,'CHUNG TU'!D190)),"")</f>
      </c>
      <c r="D199" s="213">
        <f>IF($F199+$P199&lt;&gt;0,'CHUNG TU'!F190,"")</f>
      </c>
      <c r="E199" s="213">
        <f>IF($F199+$P199&lt;&gt;0,'CHUNG TU'!H190,"")</f>
      </c>
      <c r="F199" s="213">
        <f>IF(LEFT('CHUNG TU'!I190,3)='CPSXKD 642_yếu tố'!$H$7,'CHUNG TU'!$L190,0)</f>
        <v>0</v>
      </c>
      <c r="G199" s="213">
        <f>IF(G$10='CHUNG TU'!$I190,'CHUNG TU'!$L190,0)</f>
        <v>0</v>
      </c>
      <c r="H199" s="213">
        <f>IF(H$10='CHUNG TU'!$I190,'CHUNG TU'!$L190,0)</f>
        <v>0</v>
      </c>
      <c r="I199" s="213">
        <f>IF(I$10='CHUNG TU'!$I190,'CHUNG TU'!$L190,0)</f>
        <v>0</v>
      </c>
      <c r="J199" s="213">
        <f>IF(J$10='CHUNG TU'!$I190,'CHUNG TU'!$L190,0)</f>
        <v>0</v>
      </c>
      <c r="K199" s="213">
        <f>IF(K$10='CHUNG TU'!$I190,'CHUNG TU'!$L190,0)</f>
        <v>0</v>
      </c>
      <c r="L199" s="213">
        <f>IF(L$10='CHUNG TU'!$I190,'CHUNG TU'!$L190,0)</f>
        <v>0</v>
      </c>
      <c r="M199" s="213">
        <f>IF(M$10='CHUNG TU'!$I190,'CHUNG TU'!$L190,0)</f>
        <v>0</v>
      </c>
      <c r="N199" s="213">
        <f>IF(N$10='CHUNG TU'!$I190,'CHUNG TU'!$L190,0)</f>
        <v>0</v>
      </c>
      <c r="O199" s="213">
        <f>IF(F199&lt;&gt;0,'CHUNG TU'!J190,"")</f>
      </c>
      <c r="P199" s="213">
        <f>IF(LEFT('CHUNG TU'!J190,3)='CPSXKD 642_yếu tố'!$H$7,'CHUNG TU'!$L190,0)</f>
        <v>0</v>
      </c>
      <c r="Q199" s="213">
        <f>IF(P199&lt;&gt;0,'CHUNG TU'!I190,"")</f>
      </c>
    </row>
    <row r="200" spans="2:17" ht="12.75">
      <c r="B200" s="213">
        <f>IF($F200+$P200&lt;&gt;0,'CHUNG TU'!A191,"")</f>
      </c>
      <c r="C200" s="213">
        <f>IF($F200+$P200&lt;&gt;0,IF('CHUNG TU'!B191&lt;&gt;"",'CHUNG TU'!B191,IF('CHUNG TU'!C191&lt;&gt;"",'CHUNG TU'!C191,'CHUNG TU'!D191)),"")</f>
      </c>
      <c r="D200" s="213">
        <f>IF($F200+$P200&lt;&gt;0,'CHUNG TU'!F191,"")</f>
      </c>
      <c r="E200" s="213">
        <f>IF($F200+$P200&lt;&gt;0,'CHUNG TU'!H191,"")</f>
      </c>
      <c r="F200" s="213">
        <f>IF(LEFT('CHUNG TU'!I191,3)='CPSXKD 642_yếu tố'!$H$7,'CHUNG TU'!$L191,0)</f>
        <v>0</v>
      </c>
      <c r="G200" s="213">
        <f>IF(G$10='CHUNG TU'!$I191,'CHUNG TU'!$L191,0)</f>
        <v>0</v>
      </c>
      <c r="H200" s="213">
        <f>IF(H$10='CHUNG TU'!$I191,'CHUNG TU'!$L191,0)</f>
        <v>0</v>
      </c>
      <c r="I200" s="213">
        <f>IF(I$10='CHUNG TU'!$I191,'CHUNG TU'!$L191,0)</f>
        <v>0</v>
      </c>
      <c r="J200" s="213">
        <f>IF(J$10='CHUNG TU'!$I191,'CHUNG TU'!$L191,0)</f>
        <v>0</v>
      </c>
      <c r="K200" s="213">
        <f>IF(K$10='CHUNG TU'!$I191,'CHUNG TU'!$L191,0)</f>
        <v>0</v>
      </c>
      <c r="L200" s="213">
        <f>IF(L$10='CHUNG TU'!$I191,'CHUNG TU'!$L191,0)</f>
        <v>0</v>
      </c>
      <c r="M200" s="213">
        <f>IF(M$10='CHUNG TU'!$I191,'CHUNG TU'!$L191,0)</f>
        <v>0</v>
      </c>
      <c r="N200" s="213">
        <f>IF(N$10='CHUNG TU'!$I191,'CHUNG TU'!$L191,0)</f>
        <v>0</v>
      </c>
      <c r="O200" s="213">
        <f>IF(F200&lt;&gt;0,'CHUNG TU'!J191,"")</f>
      </c>
      <c r="P200" s="213">
        <f>IF(LEFT('CHUNG TU'!J191,3)='CPSXKD 642_yếu tố'!$H$7,'CHUNG TU'!$L191,0)</f>
        <v>0</v>
      </c>
      <c r="Q200" s="213">
        <f>IF(P200&lt;&gt;0,'CHUNG TU'!I191,"")</f>
      </c>
    </row>
    <row r="201" spans="2:17" ht="12.75">
      <c r="B201" s="213" t="str">
        <f>IF($F201+$P201&lt;&gt;0,'CHUNG TU'!A192,"")</f>
        <v>30/10/2020</v>
      </c>
      <c r="C201" s="213" t="str">
        <f>IF($F201+$P201&lt;&gt;0,IF('CHUNG TU'!B192&lt;&gt;"",'CHUNG TU'!B192,IF('CHUNG TU'!C192&lt;&gt;"",'CHUNG TU'!C192,'CHUNG TU'!D192)),"")</f>
        <v>PKT10/060</v>
      </c>
      <c r="D201" s="213" t="str">
        <f>IF($F201+$P201&lt;&gt;0,'CHUNG TU'!F192,"")</f>
        <v>30/10/2020</v>
      </c>
      <c r="E201" s="213" t="str">
        <f>IF($F201+$P201&lt;&gt;0,'CHUNG TU'!H192,"")</f>
        <v>Thanh toán tiền tạm ứng của Nguyễn Minh Ngân</v>
      </c>
      <c r="F201" s="213">
        <f>IF(LEFT('CHUNG TU'!I192,3)='CPSXKD 642_yếu tố'!$H$7,'CHUNG TU'!$L192,0)</f>
        <v>450000</v>
      </c>
      <c r="G201" s="213">
        <f>IF(G$10='CHUNG TU'!$I192,'CHUNG TU'!$L192,0)</f>
        <v>0</v>
      </c>
      <c r="H201" s="213">
        <f>IF(H$10='CHUNG TU'!$I192,'CHUNG TU'!$L192,0)</f>
        <v>0</v>
      </c>
      <c r="I201" s="213">
        <f>IF(I$10='CHUNG TU'!$I192,'CHUNG TU'!$L192,0)</f>
        <v>0</v>
      </c>
      <c r="J201" s="213">
        <f>IF(J$10='CHUNG TU'!$I192,'CHUNG TU'!$L192,0)</f>
        <v>0</v>
      </c>
      <c r="K201" s="213">
        <f>IF(K$10='CHUNG TU'!$I192,'CHUNG TU'!$L192,0)</f>
        <v>0</v>
      </c>
      <c r="L201" s="213">
        <f>IF(L$10='CHUNG TU'!$I192,'CHUNG TU'!$L192,0)</f>
        <v>0</v>
      </c>
      <c r="M201" s="213">
        <f>IF(M$10='CHUNG TU'!$I192,'CHUNG TU'!$L192,0)</f>
        <v>0</v>
      </c>
      <c r="N201" s="213">
        <f>IF(N$10='CHUNG TU'!$I192,'CHUNG TU'!$L192,0)</f>
        <v>450000</v>
      </c>
      <c r="O201" s="213" t="str">
        <f>IF(F201&lt;&gt;0,'CHUNG TU'!J192,"")</f>
        <v>141.001</v>
      </c>
      <c r="P201" s="213">
        <f>IF(LEFT('CHUNG TU'!J192,3)='CPSXKD 642_yếu tố'!$H$7,'CHUNG TU'!$L192,0)</f>
        <v>0</v>
      </c>
      <c r="Q201" s="213">
        <f>IF(P201&lt;&gt;0,'CHUNG TU'!I192,"")</f>
      </c>
    </row>
    <row r="202" spans="2:17" ht="12.75">
      <c r="B202" s="213">
        <f>IF($F202+$P202&lt;&gt;0,'CHUNG TU'!A193,"")</f>
      </c>
      <c r="C202" s="213">
        <f>IF($F202+$P202&lt;&gt;0,IF('CHUNG TU'!B193&lt;&gt;"",'CHUNG TU'!B193,IF('CHUNG TU'!C193&lt;&gt;"",'CHUNG TU'!C193,'CHUNG TU'!D193)),"")</f>
      </c>
      <c r="D202" s="213">
        <f>IF($F202+$P202&lt;&gt;0,'CHUNG TU'!F193,"")</f>
      </c>
      <c r="E202" s="213">
        <f>IF($F202+$P202&lt;&gt;0,'CHUNG TU'!H193,"")</f>
      </c>
      <c r="F202" s="213">
        <f>IF(LEFT('CHUNG TU'!I193,3)='CPSXKD 642_yếu tố'!$H$7,'CHUNG TU'!$L193,0)</f>
        <v>0</v>
      </c>
      <c r="G202" s="213">
        <f>IF(G$10='CHUNG TU'!$I193,'CHUNG TU'!$L193,0)</f>
        <v>0</v>
      </c>
      <c r="H202" s="213">
        <f>IF(H$10='CHUNG TU'!$I193,'CHUNG TU'!$L193,0)</f>
        <v>0</v>
      </c>
      <c r="I202" s="213">
        <f>IF(I$10='CHUNG TU'!$I193,'CHUNG TU'!$L193,0)</f>
        <v>0</v>
      </c>
      <c r="J202" s="213">
        <f>IF(J$10='CHUNG TU'!$I193,'CHUNG TU'!$L193,0)</f>
        <v>0</v>
      </c>
      <c r="K202" s="213">
        <f>IF(K$10='CHUNG TU'!$I193,'CHUNG TU'!$L193,0)</f>
        <v>0</v>
      </c>
      <c r="L202" s="213">
        <f>IF(L$10='CHUNG TU'!$I193,'CHUNG TU'!$L193,0)</f>
        <v>0</v>
      </c>
      <c r="M202" s="213">
        <f>IF(M$10='CHUNG TU'!$I193,'CHUNG TU'!$L193,0)</f>
        <v>0</v>
      </c>
      <c r="N202" s="213">
        <f>IF(N$10='CHUNG TU'!$I193,'CHUNG TU'!$L193,0)</f>
        <v>0</v>
      </c>
      <c r="O202" s="213">
        <f>IF(F202&lt;&gt;0,'CHUNG TU'!J193,"")</f>
      </c>
      <c r="P202" s="213">
        <f>IF(LEFT('CHUNG TU'!J193,3)='CPSXKD 642_yếu tố'!$H$7,'CHUNG TU'!$L193,0)</f>
        <v>0</v>
      </c>
      <c r="Q202" s="213">
        <f>IF(P202&lt;&gt;0,'CHUNG TU'!I193,"")</f>
      </c>
    </row>
    <row r="203" spans="2:17" ht="12.75">
      <c r="B203" s="213">
        <f>IF($F203+$P203&lt;&gt;0,'CHUNG TU'!A194,"")</f>
      </c>
      <c r="C203" s="213">
        <f>IF($F203+$P203&lt;&gt;0,IF('CHUNG TU'!B194&lt;&gt;"",'CHUNG TU'!B194,IF('CHUNG TU'!C194&lt;&gt;"",'CHUNG TU'!C194,'CHUNG TU'!D194)),"")</f>
      </c>
      <c r="D203" s="213">
        <f>IF($F203+$P203&lt;&gt;0,'CHUNG TU'!F194,"")</f>
      </c>
      <c r="E203" s="213">
        <f>IF($F203+$P203&lt;&gt;0,'CHUNG TU'!H194,"")</f>
      </c>
      <c r="F203" s="213">
        <f>IF(LEFT('CHUNG TU'!I194,3)='CPSXKD 642_yếu tố'!$H$7,'CHUNG TU'!$L194,0)</f>
        <v>0</v>
      </c>
      <c r="G203" s="213">
        <f>IF(G$10='CHUNG TU'!$I194,'CHUNG TU'!$L194,0)</f>
        <v>0</v>
      </c>
      <c r="H203" s="213">
        <f>IF(H$10='CHUNG TU'!$I194,'CHUNG TU'!$L194,0)</f>
        <v>0</v>
      </c>
      <c r="I203" s="213">
        <f>IF(I$10='CHUNG TU'!$I194,'CHUNG TU'!$L194,0)</f>
        <v>0</v>
      </c>
      <c r="J203" s="213">
        <f>IF(J$10='CHUNG TU'!$I194,'CHUNG TU'!$L194,0)</f>
        <v>0</v>
      </c>
      <c r="K203" s="213">
        <f>IF(K$10='CHUNG TU'!$I194,'CHUNG TU'!$L194,0)</f>
        <v>0</v>
      </c>
      <c r="L203" s="213">
        <f>IF(L$10='CHUNG TU'!$I194,'CHUNG TU'!$L194,0)</f>
        <v>0</v>
      </c>
      <c r="M203" s="213">
        <f>IF(M$10='CHUNG TU'!$I194,'CHUNG TU'!$L194,0)</f>
        <v>0</v>
      </c>
      <c r="N203" s="213">
        <f>IF(N$10='CHUNG TU'!$I194,'CHUNG TU'!$L194,0)</f>
        <v>0</v>
      </c>
      <c r="O203" s="213">
        <f>IF(F203&lt;&gt;0,'CHUNG TU'!J194,"")</f>
      </c>
      <c r="P203" s="213">
        <f>IF(LEFT('CHUNG TU'!J194,3)='CPSXKD 642_yếu tố'!$H$7,'CHUNG TU'!$L194,0)</f>
        <v>0</v>
      </c>
      <c r="Q203" s="213">
        <f>IF(P203&lt;&gt;0,'CHUNG TU'!I194,"")</f>
      </c>
    </row>
    <row r="204" spans="2:17" ht="12.75">
      <c r="B204" s="213">
        <f>IF($F204+$P204&lt;&gt;0,'CHUNG TU'!A195,"")</f>
      </c>
      <c r="C204" s="213">
        <f>IF($F204+$P204&lt;&gt;0,IF('CHUNG TU'!B195&lt;&gt;"",'CHUNG TU'!B195,IF('CHUNG TU'!C195&lt;&gt;"",'CHUNG TU'!C195,'CHUNG TU'!D195)),"")</f>
      </c>
      <c r="D204" s="213">
        <f>IF($F204+$P204&lt;&gt;0,'CHUNG TU'!F195,"")</f>
      </c>
      <c r="E204" s="213">
        <f>IF($F204+$P204&lt;&gt;0,'CHUNG TU'!H195,"")</f>
      </c>
      <c r="F204" s="213">
        <f>IF(LEFT('CHUNG TU'!I195,3)='CPSXKD 642_yếu tố'!$H$7,'CHUNG TU'!$L195,0)</f>
        <v>0</v>
      </c>
      <c r="G204" s="213">
        <f>IF(G$10='CHUNG TU'!$I195,'CHUNG TU'!$L195,0)</f>
        <v>0</v>
      </c>
      <c r="H204" s="213">
        <f>IF(H$10='CHUNG TU'!$I195,'CHUNG TU'!$L195,0)</f>
        <v>0</v>
      </c>
      <c r="I204" s="213">
        <f>IF(I$10='CHUNG TU'!$I195,'CHUNG TU'!$L195,0)</f>
        <v>0</v>
      </c>
      <c r="J204" s="213">
        <f>IF(J$10='CHUNG TU'!$I195,'CHUNG TU'!$L195,0)</f>
        <v>0</v>
      </c>
      <c r="K204" s="213">
        <f>IF(K$10='CHUNG TU'!$I195,'CHUNG TU'!$L195,0)</f>
        <v>0</v>
      </c>
      <c r="L204" s="213">
        <f>IF(L$10='CHUNG TU'!$I195,'CHUNG TU'!$L195,0)</f>
        <v>0</v>
      </c>
      <c r="M204" s="213">
        <f>IF(M$10='CHUNG TU'!$I195,'CHUNG TU'!$L195,0)</f>
        <v>0</v>
      </c>
      <c r="N204" s="213">
        <f>IF(N$10='CHUNG TU'!$I195,'CHUNG TU'!$L195,0)</f>
        <v>0</v>
      </c>
      <c r="O204" s="213">
        <f>IF(F204&lt;&gt;0,'CHUNG TU'!J195,"")</f>
      </c>
      <c r="P204" s="213">
        <f>IF(LEFT('CHUNG TU'!J195,3)='CPSXKD 642_yếu tố'!$H$7,'CHUNG TU'!$L195,0)</f>
        <v>0</v>
      </c>
      <c r="Q204" s="213">
        <f>IF(P204&lt;&gt;0,'CHUNG TU'!I195,"")</f>
      </c>
    </row>
    <row r="205" spans="2:17" ht="12.75">
      <c r="B205" s="213">
        <f>IF($F205+$P205&lt;&gt;0,'CHUNG TU'!A196,"")</f>
      </c>
      <c r="C205" s="213">
        <f>IF($F205+$P205&lt;&gt;0,IF('CHUNG TU'!B196&lt;&gt;"",'CHUNG TU'!B196,IF('CHUNG TU'!C196&lt;&gt;"",'CHUNG TU'!C196,'CHUNG TU'!D196)),"")</f>
      </c>
      <c r="D205" s="213">
        <f>IF($F205+$P205&lt;&gt;0,'CHUNG TU'!F196,"")</f>
      </c>
      <c r="E205" s="213">
        <f>IF($F205+$P205&lt;&gt;0,'CHUNG TU'!H196,"")</f>
      </c>
      <c r="F205" s="213">
        <f>IF(LEFT('CHUNG TU'!I196,3)='CPSXKD 642_yếu tố'!$H$7,'CHUNG TU'!$L196,0)</f>
        <v>0</v>
      </c>
      <c r="G205" s="213">
        <f>IF(G$10='CHUNG TU'!$I196,'CHUNG TU'!$L196,0)</f>
        <v>0</v>
      </c>
      <c r="H205" s="213">
        <f>IF(H$10='CHUNG TU'!$I196,'CHUNG TU'!$L196,0)</f>
        <v>0</v>
      </c>
      <c r="I205" s="213">
        <f>IF(I$10='CHUNG TU'!$I196,'CHUNG TU'!$L196,0)</f>
        <v>0</v>
      </c>
      <c r="J205" s="213">
        <f>IF(J$10='CHUNG TU'!$I196,'CHUNG TU'!$L196,0)</f>
        <v>0</v>
      </c>
      <c r="K205" s="213">
        <f>IF(K$10='CHUNG TU'!$I196,'CHUNG TU'!$L196,0)</f>
        <v>0</v>
      </c>
      <c r="L205" s="213">
        <f>IF(L$10='CHUNG TU'!$I196,'CHUNG TU'!$L196,0)</f>
        <v>0</v>
      </c>
      <c r="M205" s="213">
        <f>IF(M$10='CHUNG TU'!$I196,'CHUNG TU'!$L196,0)</f>
        <v>0</v>
      </c>
      <c r="N205" s="213">
        <f>IF(N$10='CHUNG TU'!$I196,'CHUNG TU'!$L196,0)</f>
        <v>0</v>
      </c>
      <c r="O205" s="213">
        <f>IF(F205&lt;&gt;0,'CHUNG TU'!J196,"")</f>
      </c>
      <c r="P205" s="213">
        <f>IF(LEFT('CHUNG TU'!J196,3)='CPSXKD 642_yếu tố'!$H$7,'CHUNG TU'!$L196,0)</f>
        <v>0</v>
      </c>
      <c r="Q205" s="213">
        <f>IF(P205&lt;&gt;0,'CHUNG TU'!I196,"")</f>
      </c>
    </row>
    <row r="206" spans="2:17" ht="12.75">
      <c r="B206" s="213">
        <f>IF($F206+$P206&lt;&gt;0,'CHUNG TU'!A197,"")</f>
      </c>
      <c r="C206" s="213">
        <f>IF($F206+$P206&lt;&gt;0,IF('CHUNG TU'!B197&lt;&gt;"",'CHUNG TU'!B197,IF('CHUNG TU'!C197&lt;&gt;"",'CHUNG TU'!C197,'CHUNG TU'!D197)),"")</f>
      </c>
      <c r="D206" s="213">
        <f>IF($F206+$P206&lt;&gt;0,'CHUNG TU'!F197,"")</f>
      </c>
      <c r="E206" s="213">
        <f>IF($F206+$P206&lt;&gt;0,'CHUNG TU'!H197,"")</f>
      </c>
      <c r="F206" s="213">
        <f>IF(LEFT('CHUNG TU'!I197,3)='CPSXKD 642_yếu tố'!$H$7,'CHUNG TU'!$L197,0)</f>
        <v>0</v>
      </c>
      <c r="G206" s="213">
        <f>IF(G$10='CHUNG TU'!$I197,'CHUNG TU'!$L197,0)</f>
        <v>0</v>
      </c>
      <c r="H206" s="213">
        <f>IF(H$10='CHUNG TU'!$I197,'CHUNG TU'!$L197,0)</f>
        <v>0</v>
      </c>
      <c r="I206" s="213">
        <f>IF(I$10='CHUNG TU'!$I197,'CHUNG TU'!$L197,0)</f>
        <v>0</v>
      </c>
      <c r="J206" s="213">
        <f>IF(J$10='CHUNG TU'!$I197,'CHUNG TU'!$L197,0)</f>
        <v>0</v>
      </c>
      <c r="K206" s="213">
        <f>IF(K$10='CHUNG TU'!$I197,'CHUNG TU'!$L197,0)</f>
        <v>0</v>
      </c>
      <c r="L206" s="213">
        <f>IF(L$10='CHUNG TU'!$I197,'CHUNG TU'!$L197,0)</f>
        <v>0</v>
      </c>
      <c r="M206" s="213">
        <f>IF(M$10='CHUNG TU'!$I197,'CHUNG TU'!$L197,0)</f>
        <v>0</v>
      </c>
      <c r="N206" s="213">
        <f>IF(N$10='CHUNG TU'!$I197,'CHUNG TU'!$L197,0)</f>
        <v>0</v>
      </c>
      <c r="O206" s="213">
        <f>IF(F206&lt;&gt;0,'CHUNG TU'!J197,"")</f>
      </c>
      <c r="P206" s="213">
        <f>IF(LEFT('CHUNG TU'!J197,3)='CPSXKD 642_yếu tố'!$H$7,'CHUNG TU'!$L197,0)</f>
        <v>0</v>
      </c>
      <c r="Q206" s="213">
        <f>IF(P206&lt;&gt;0,'CHUNG TU'!I197,"")</f>
      </c>
    </row>
    <row r="207" spans="2:17" ht="12.75">
      <c r="B207" s="213">
        <f>IF($F207+$P207&lt;&gt;0,'CHUNG TU'!A198,"")</f>
      </c>
      <c r="C207" s="213">
        <f>IF($F207+$P207&lt;&gt;0,IF('CHUNG TU'!B198&lt;&gt;"",'CHUNG TU'!B198,IF('CHUNG TU'!C198&lt;&gt;"",'CHUNG TU'!C198,'CHUNG TU'!D198)),"")</f>
      </c>
      <c r="D207" s="213">
        <f>IF($F207+$P207&lt;&gt;0,'CHUNG TU'!F198,"")</f>
      </c>
      <c r="E207" s="213">
        <f>IF($F207+$P207&lt;&gt;0,'CHUNG TU'!H198,"")</f>
      </c>
      <c r="F207" s="213">
        <f>IF(LEFT('CHUNG TU'!I198,3)='CPSXKD 642_yếu tố'!$H$7,'CHUNG TU'!$L198,0)</f>
        <v>0</v>
      </c>
      <c r="G207" s="213">
        <f>IF(G$10='CHUNG TU'!$I198,'CHUNG TU'!$L198,0)</f>
        <v>0</v>
      </c>
      <c r="H207" s="213">
        <f>IF(H$10='CHUNG TU'!$I198,'CHUNG TU'!$L198,0)</f>
        <v>0</v>
      </c>
      <c r="I207" s="213">
        <f>IF(I$10='CHUNG TU'!$I198,'CHUNG TU'!$L198,0)</f>
        <v>0</v>
      </c>
      <c r="J207" s="213">
        <f>IF(J$10='CHUNG TU'!$I198,'CHUNG TU'!$L198,0)</f>
        <v>0</v>
      </c>
      <c r="K207" s="213">
        <f>IF(K$10='CHUNG TU'!$I198,'CHUNG TU'!$L198,0)</f>
        <v>0</v>
      </c>
      <c r="L207" s="213">
        <f>IF(L$10='CHUNG TU'!$I198,'CHUNG TU'!$L198,0)</f>
        <v>0</v>
      </c>
      <c r="M207" s="213">
        <f>IF(M$10='CHUNG TU'!$I198,'CHUNG TU'!$L198,0)</f>
        <v>0</v>
      </c>
      <c r="N207" s="213">
        <f>IF(N$10='CHUNG TU'!$I198,'CHUNG TU'!$L198,0)</f>
        <v>0</v>
      </c>
      <c r="O207" s="213">
        <f>IF(F207&lt;&gt;0,'CHUNG TU'!J198,"")</f>
      </c>
      <c r="P207" s="213">
        <f>IF(LEFT('CHUNG TU'!J198,3)='CPSXKD 642_yếu tố'!$H$7,'CHUNG TU'!$L198,0)</f>
        <v>0</v>
      </c>
      <c r="Q207" s="213">
        <f>IF(P207&lt;&gt;0,'CHUNG TU'!I198,"")</f>
      </c>
    </row>
    <row r="208" spans="2:17" ht="12.75">
      <c r="B208" s="213">
        <f>IF($F208+$P208&lt;&gt;0,'CHUNG TU'!A199,"")</f>
      </c>
      <c r="C208" s="213">
        <f>IF($F208+$P208&lt;&gt;0,IF('CHUNG TU'!B199&lt;&gt;"",'CHUNG TU'!B199,IF('CHUNG TU'!C199&lt;&gt;"",'CHUNG TU'!C199,'CHUNG TU'!D199)),"")</f>
      </c>
      <c r="D208" s="213">
        <f>IF($F208+$P208&lt;&gt;0,'CHUNG TU'!F199,"")</f>
      </c>
      <c r="E208" s="213">
        <f>IF($F208+$P208&lt;&gt;0,'CHUNG TU'!H199,"")</f>
      </c>
      <c r="F208" s="213">
        <f>IF(LEFT('CHUNG TU'!I199,3)='CPSXKD 642_yếu tố'!$H$7,'CHUNG TU'!$L199,0)</f>
        <v>0</v>
      </c>
      <c r="G208" s="213">
        <f>IF(G$10='CHUNG TU'!$I199,'CHUNG TU'!$L199,0)</f>
        <v>0</v>
      </c>
      <c r="H208" s="213">
        <f>IF(H$10='CHUNG TU'!$I199,'CHUNG TU'!$L199,0)</f>
        <v>0</v>
      </c>
      <c r="I208" s="213">
        <f>IF(I$10='CHUNG TU'!$I199,'CHUNG TU'!$L199,0)</f>
        <v>0</v>
      </c>
      <c r="J208" s="213">
        <f>IF(J$10='CHUNG TU'!$I199,'CHUNG TU'!$L199,0)</f>
        <v>0</v>
      </c>
      <c r="K208" s="213">
        <f>IF(K$10='CHUNG TU'!$I199,'CHUNG TU'!$L199,0)</f>
        <v>0</v>
      </c>
      <c r="L208" s="213">
        <f>IF(L$10='CHUNG TU'!$I199,'CHUNG TU'!$L199,0)</f>
        <v>0</v>
      </c>
      <c r="M208" s="213">
        <f>IF(M$10='CHUNG TU'!$I199,'CHUNG TU'!$L199,0)</f>
        <v>0</v>
      </c>
      <c r="N208" s="213">
        <f>IF(N$10='CHUNG TU'!$I199,'CHUNG TU'!$L199,0)</f>
        <v>0</v>
      </c>
      <c r="O208" s="213">
        <f>IF(F208&lt;&gt;0,'CHUNG TU'!J199,"")</f>
      </c>
      <c r="P208" s="213">
        <f>IF(LEFT('CHUNG TU'!J199,3)='CPSXKD 642_yếu tố'!$H$7,'CHUNG TU'!$L199,0)</f>
        <v>0</v>
      </c>
      <c r="Q208" s="213">
        <f>IF(P208&lt;&gt;0,'CHUNG TU'!I199,"")</f>
      </c>
    </row>
    <row r="209" spans="2:17" ht="12.75">
      <c r="B209" s="213">
        <f>IF($F209+$P209&lt;&gt;0,'CHUNG TU'!A200,"")</f>
      </c>
      <c r="C209" s="213">
        <f>IF($F209+$P209&lt;&gt;0,IF('CHUNG TU'!B200&lt;&gt;"",'CHUNG TU'!B200,IF('CHUNG TU'!C200&lt;&gt;"",'CHUNG TU'!C200,'CHUNG TU'!D200)),"")</f>
      </c>
      <c r="D209" s="213">
        <f>IF($F209+$P209&lt;&gt;0,'CHUNG TU'!F200,"")</f>
      </c>
      <c r="E209" s="213">
        <f>IF($F209+$P209&lt;&gt;0,'CHUNG TU'!H200,"")</f>
      </c>
      <c r="F209" s="213">
        <f>IF(LEFT('CHUNG TU'!I200,3)='CPSXKD 642_yếu tố'!$H$7,'CHUNG TU'!$L200,0)</f>
        <v>0</v>
      </c>
      <c r="G209" s="213">
        <f>IF(G$10='CHUNG TU'!$I200,'CHUNG TU'!$L200,0)</f>
        <v>0</v>
      </c>
      <c r="H209" s="213">
        <f>IF(H$10='CHUNG TU'!$I200,'CHUNG TU'!$L200,0)</f>
        <v>0</v>
      </c>
      <c r="I209" s="213">
        <f>IF(I$10='CHUNG TU'!$I200,'CHUNG TU'!$L200,0)</f>
        <v>0</v>
      </c>
      <c r="J209" s="213">
        <f>IF(J$10='CHUNG TU'!$I200,'CHUNG TU'!$L200,0)</f>
        <v>0</v>
      </c>
      <c r="K209" s="213">
        <f>IF(K$10='CHUNG TU'!$I200,'CHUNG TU'!$L200,0)</f>
        <v>0</v>
      </c>
      <c r="L209" s="213">
        <f>IF(L$10='CHUNG TU'!$I200,'CHUNG TU'!$L200,0)</f>
        <v>0</v>
      </c>
      <c r="M209" s="213">
        <f>IF(M$10='CHUNG TU'!$I200,'CHUNG TU'!$L200,0)</f>
        <v>0</v>
      </c>
      <c r="N209" s="213">
        <f>IF(N$10='CHUNG TU'!$I200,'CHUNG TU'!$L200,0)</f>
        <v>0</v>
      </c>
      <c r="O209" s="213">
        <f>IF(F209&lt;&gt;0,'CHUNG TU'!J200,"")</f>
      </c>
      <c r="P209" s="213">
        <f>IF(LEFT('CHUNG TU'!J200,3)='CPSXKD 642_yếu tố'!$H$7,'CHUNG TU'!$L200,0)</f>
        <v>0</v>
      </c>
      <c r="Q209" s="213">
        <f>IF(P209&lt;&gt;0,'CHUNG TU'!I200,"")</f>
      </c>
    </row>
    <row r="210" spans="2:17" ht="12.75">
      <c r="B210" s="213">
        <f>IF($F210+$P210&lt;&gt;0,'CHUNG TU'!A201,"")</f>
      </c>
      <c r="C210" s="213">
        <f>IF($F210+$P210&lt;&gt;0,IF('CHUNG TU'!B201&lt;&gt;"",'CHUNG TU'!B201,IF('CHUNG TU'!C201&lt;&gt;"",'CHUNG TU'!C201,'CHUNG TU'!D201)),"")</f>
      </c>
      <c r="D210" s="213">
        <f>IF($F210+$P210&lt;&gt;0,'CHUNG TU'!F201,"")</f>
      </c>
      <c r="E210" s="213">
        <f>IF($F210+$P210&lt;&gt;0,'CHUNG TU'!H201,"")</f>
      </c>
      <c r="F210" s="213">
        <f>IF(LEFT('CHUNG TU'!I201,3)='CPSXKD 642_yếu tố'!$H$7,'CHUNG TU'!$L201,0)</f>
        <v>0</v>
      </c>
      <c r="G210" s="213">
        <f>IF(G$10='CHUNG TU'!$I201,'CHUNG TU'!$L201,0)</f>
        <v>0</v>
      </c>
      <c r="H210" s="213">
        <f>IF(H$10='CHUNG TU'!$I201,'CHUNG TU'!$L201,0)</f>
        <v>0</v>
      </c>
      <c r="I210" s="213">
        <f>IF(I$10='CHUNG TU'!$I201,'CHUNG TU'!$L201,0)</f>
        <v>0</v>
      </c>
      <c r="J210" s="213">
        <f>IF(J$10='CHUNG TU'!$I201,'CHUNG TU'!$L201,0)</f>
        <v>0</v>
      </c>
      <c r="K210" s="213">
        <f>IF(K$10='CHUNG TU'!$I201,'CHUNG TU'!$L201,0)</f>
        <v>0</v>
      </c>
      <c r="L210" s="213">
        <f>IF(L$10='CHUNG TU'!$I201,'CHUNG TU'!$L201,0)</f>
        <v>0</v>
      </c>
      <c r="M210" s="213">
        <f>IF(M$10='CHUNG TU'!$I201,'CHUNG TU'!$L201,0)</f>
        <v>0</v>
      </c>
      <c r="N210" s="213">
        <f>IF(N$10='CHUNG TU'!$I201,'CHUNG TU'!$L201,0)</f>
        <v>0</v>
      </c>
      <c r="O210" s="213">
        <f>IF(F210&lt;&gt;0,'CHUNG TU'!J201,"")</f>
      </c>
      <c r="P210" s="213">
        <f>IF(LEFT('CHUNG TU'!J201,3)='CPSXKD 642_yếu tố'!$H$7,'CHUNG TU'!$L201,0)</f>
        <v>0</v>
      </c>
      <c r="Q210" s="213">
        <f>IF(P210&lt;&gt;0,'CHUNG TU'!I201,"")</f>
      </c>
    </row>
    <row r="211" spans="2:17" ht="12.75">
      <c r="B211" s="213">
        <f>IF($F211+$P211&lt;&gt;0,'CHUNG TU'!A202,"")</f>
      </c>
      <c r="C211" s="213">
        <f>IF($F211+$P211&lt;&gt;0,IF('CHUNG TU'!B202&lt;&gt;"",'CHUNG TU'!B202,IF('CHUNG TU'!C202&lt;&gt;"",'CHUNG TU'!C202,'CHUNG TU'!D202)),"")</f>
      </c>
      <c r="D211" s="213">
        <f>IF($F211+$P211&lt;&gt;0,'CHUNG TU'!F202,"")</f>
      </c>
      <c r="E211" s="213">
        <f>IF($F211+$P211&lt;&gt;0,'CHUNG TU'!H202,"")</f>
      </c>
      <c r="F211" s="213">
        <f>IF(LEFT('CHUNG TU'!I202,3)='CPSXKD 642_yếu tố'!$H$7,'CHUNG TU'!$L202,0)</f>
        <v>0</v>
      </c>
      <c r="G211" s="213">
        <f>IF(G$10='CHUNG TU'!$I202,'CHUNG TU'!$L202,0)</f>
        <v>0</v>
      </c>
      <c r="H211" s="213">
        <f>IF(H$10='CHUNG TU'!$I202,'CHUNG TU'!$L202,0)</f>
        <v>0</v>
      </c>
      <c r="I211" s="213">
        <f>IF(I$10='CHUNG TU'!$I202,'CHUNG TU'!$L202,0)</f>
        <v>0</v>
      </c>
      <c r="J211" s="213">
        <f>IF(J$10='CHUNG TU'!$I202,'CHUNG TU'!$L202,0)</f>
        <v>0</v>
      </c>
      <c r="K211" s="213">
        <f>IF(K$10='CHUNG TU'!$I202,'CHUNG TU'!$L202,0)</f>
        <v>0</v>
      </c>
      <c r="L211" s="213">
        <f>IF(L$10='CHUNG TU'!$I202,'CHUNG TU'!$L202,0)</f>
        <v>0</v>
      </c>
      <c r="M211" s="213">
        <f>IF(M$10='CHUNG TU'!$I202,'CHUNG TU'!$L202,0)</f>
        <v>0</v>
      </c>
      <c r="N211" s="213">
        <f>IF(N$10='CHUNG TU'!$I202,'CHUNG TU'!$L202,0)</f>
        <v>0</v>
      </c>
      <c r="O211" s="213">
        <f>IF(F211&lt;&gt;0,'CHUNG TU'!J202,"")</f>
      </c>
      <c r="P211" s="213">
        <f>IF(LEFT('CHUNG TU'!J202,3)='CPSXKD 642_yếu tố'!$H$7,'CHUNG TU'!$L202,0)</f>
        <v>0</v>
      </c>
      <c r="Q211" s="213">
        <f>IF(P211&lt;&gt;0,'CHUNG TU'!I202,"")</f>
      </c>
    </row>
    <row r="212" spans="2:17" ht="12.75">
      <c r="B212" s="213" t="str">
        <f>IF($F212+$P212&lt;&gt;0,'CHUNG TU'!A203,"")</f>
        <v>30/10/2020</v>
      </c>
      <c r="C212" s="213" t="str">
        <f>IF($F212+$P212&lt;&gt;0,IF('CHUNG TU'!B203&lt;&gt;"",'CHUNG TU'!B203,IF('CHUNG TU'!C203&lt;&gt;"",'CHUNG TU'!C203,'CHUNG TU'!D203)),"")</f>
        <v>PKT10/067</v>
      </c>
      <c r="D212" s="213" t="str">
        <f>IF($F212+$P212&lt;&gt;0,'CHUNG TU'!F203,"")</f>
        <v>30/10/2020</v>
      </c>
      <c r="E212" s="213" t="str">
        <f>IF($F212+$P212&lt;&gt;0,'CHUNG TU'!H203,"")</f>
        <v>Trả tiền điện thoại bằng TGNH</v>
      </c>
      <c r="F212" s="213">
        <f>IF(LEFT('CHUNG TU'!I203,3)='CPSXKD 642_yếu tố'!$H$7,'CHUNG TU'!$L203,0)</f>
        <v>3700000</v>
      </c>
      <c r="G212" s="213">
        <f>IF(G$10='CHUNG TU'!$I203,'CHUNG TU'!$L203,0)</f>
        <v>0</v>
      </c>
      <c r="H212" s="213">
        <f>IF(H$10='CHUNG TU'!$I203,'CHUNG TU'!$L203,0)</f>
        <v>0</v>
      </c>
      <c r="I212" s="213">
        <f>IF(I$10='CHUNG TU'!$I203,'CHUNG TU'!$L203,0)</f>
        <v>0</v>
      </c>
      <c r="J212" s="213">
        <f>IF(J$10='CHUNG TU'!$I203,'CHUNG TU'!$L203,0)</f>
        <v>0</v>
      </c>
      <c r="K212" s="213">
        <f>IF(K$10='CHUNG TU'!$I203,'CHUNG TU'!$L203,0)</f>
        <v>0</v>
      </c>
      <c r="L212" s="213">
        <f>IF(L$10='CHUNG TU'!$I203,'CHUNG TU'!$L203,0)</f>
        <v>0</v>
      </c>
      <c r="M212" s="213">
        <f>IF(M$10='CHUNG TU'!$I203,'CHUNG TU'!$L203,0)</f>
        <v>3700000</v>
      </c>
      <c r="N212" s="213">
        <f>IF(N$10='CHUNG TU'!$I203,'CHUNG TU'!$L203,0)</f>
        <v>0</v>
      </c>
      <c r="O212" s="213" t="str">
        <f>IF(F212&lt;&gt;0,'CHUNG TU'!J203,"")</f>
        <v>1121</v>
      </c>
      <c r="P212" s="213">
        <f>IF(LEFT('CHUNG TU'!J203,3)='CPSXKD 642_yếu tố'!$H$7,'CHUNG TU'!$L203,0)</f>
        <v>0</v>
      </c>
      <c r="Q212" s="213">
        <f>IF(P212&lt;&gt;0,'CHUNG TU'!I203,"")</f>
      </c>
    </row>
    <row r="213" spans="2:17" ht="12.75">
      <c r="B213" s="213">
        <f>IF($F213+$P213&lt;&gt;0,'CHUNG TU'!A204,"")</f>
      </c>
      <c r="C213" s="213">
        <f>IF($F213+$P213&lt;&gt;0,IF('CHUNG TU'!B204&lt;&gt;"",'CHUNG TU'!B204,IF('CHUNG TU'!C204&lt;&gt;"",'CHUNG TU'!C204,'CHUNG TU'!D204)),"")</f>
      </c>
      <c r="D213" s="213">
        <f>IF($F213+$P213&lt;&gt;0,'CHUNG TU'!F204,"")</f>
      </c>
      <c r="E213" s="213">
        <f>IF($F213+$P213&lt;&gt;0,'CHUNG TU'!H204,"")</f>
      </c>
      <c r="F213" s="213">
        <f>IF(LEFT('CHUNG TU'!I204,3)='CPSXKD 642_yếu tố'!$H$7,'CHUNG TU'!$L204,0)</f>
        <v>0</v>
      </c>
      <c r="G213" s="213">
        <f>IF(G$10='CHUNG TU'!$I204,'CHUNG TU'!$L204,0)</f>
        <v>0</v>
      </c>
      <c r="H213" s="213">
        <f>IF(H$10='CHUNG TU'!$I204,'CHUNG TU'!$L204,0)</f>
        <v>0</v>
      </c>
      <c r="I213" s="213">
        <f>IF(I$10='CHUNG TU'!$I204,'CHUNG TU'!$L204,0)</f>
        <v>0</v>
      </c>
      <c r="J213" s="213">
        <f>IF(J$10='CHUNG TU'!$I204,'CHUNG TU'!$L204,0)</f>
        <v>0</v>
      </c>
      <c r="K213" s="213">
        <f>IF(K$10='CHUNG TU'!$I204,'CHUNG TU'!$L204,0)</f>
        <v>0</v>
      </c>
      <c r="L213" s="213">
        <f>IF(L$10='CHUNG TU'!$I204,'CHUNG TU'!$L204,0)</f>
        <v>0</v>
      </c>
      <c r="M213" s="213">
        <f>IF(M$10='CHUNG TU'!$I204,'CHUNG TU'!$L204,0)</f>
        <v>0</v>
      </c>
      <c r="N213" s="213">
        <f>IF(N$10='CHUNG TU'!$I204,'CHUNG TU'!$L204,0)</f>
        <v>0</v>
      </c>
      <c r="O213" s="213">
        <f>IF(F213&lt;&gt;0,'CHUNG TU'!J204,"")</f>
      </c>
      <c r="P213" s="213">
        <f>IF(LEFT('CHUNG TU'!J204,3)='CPSXKD 642_yếu tố'!$H$7,'CHUNG TU'!$L204,0)</f>
        <v>0</v>
      </c>
      <c r="Q213" s="213">
        <f>IF(P213&lt;&gt;0,'CHUNG TU'!I204,"")</f>
      </c>
    </row>
    <row r="214" spans="2:17" ht="12.75">
      <c r="B214" s="213">
        <f>IF($F214+$P214&lt;&gt;0,'CHUNG TU'!A205,"")</f>
      </c>
      <c r="C214" s="213">
        <f>IF($F214+$P214&lt;&gt;0,IF('CHUNG TU'!B205&lt;&gt;"",'CHUNG TU'!B205,IF('CHUNG TU'!C205&lt;&gt;"",'CHUNG TU'!C205,'CHUNG TU'!D205)),"")</f>
      </c>
      <c r="D214" s="213">
        <f>IF($F214+$P214&lt;&gt;0,'CHUNG TU'!F205,"")</f>
      </c>
      <c r="E214" s="213">
        <f>IF($F214+$P214&lt;&gt;0,'CHUNG TU'!H205,"")</f>
      </c>
      <c r="F214" s="213">
        <f>IF(LEFT('CHUNG TU'!I205,3)='CPSXKD 642_yếu tố'!$H$7,'CHUNG TU'!$L205,0)</f>
        <v>0</v>
      </c>
      <c r="G214" s="213">
        <f>IF(G$10='CHUNG TU'!$I205,'CHUNG TU'!$L205,0)</f>
        <v>0</v>
      </c>
      <c r="H214" s="213">
        <f>IF(H$10='CHUNG TU'!$I205,'CHUNG TU'!$L205,0)</f>
        <v>0</v>
      </c>
      <c r="I214" s="213">
        <f>IF(I$10='CHUNG TU'!$I205,'CHUNG TU'!$L205,0)</f>
        <v>0</v>
      </c>
      <c r="J214" s="213">
        <f>IF(J$10='CHUNG TU'!$I205,'CHUNG TU'!$L205,0)</f>
        <v>0</v>
      </c>
      <c r="K214" s="213">
        <f>IF(K$10='CHUNG TU'!$I205,'CHUNG TU'!$L205,0)</f>
        <v>0</v>
      </c>
      <c r="L214" s="213">
        <f>IF(L$10='CHUNG TU'!$I205,'CHUNG TU'!$L205,0)</f>
        <v>0</v>
      </c>
      <c r="M214" s="213">
        <f>IF(M$10='CHUNG TU'!$I205,'CHUNG TU'!$L205,0)</f>
        <v>0</v>
      </c>
      <c r="N214" s="213">
        <f>IF(N$10='CHUNG TU'!$I205,'CHUNG TU'!$L205,0)</f>
        <v>0</v>
      </c>
      <c r="O214" s="213">
        <f>IF(F214&lt;&gt;0,'CHUNG TU'!J205,"")</f>
      </c>
      <c r="P214" s="213">
        <f>IF(LEFT('CHUNG TU'!J205,3)='CPSXKD 642_yếu tố'!$H$7,'CHUNG TU'!$L205,0)</f>
        <v>0</v>
      </c>
      <c r="Q214" s="213">
        <f>IF(P214&lt;&gt;0,'CHUNG TU'!I205,"")</f>
      </c>
    </row>
    <row r="215" spans="2:17" ht="12.75">
      <c r="B215" s="213">
        <f>IF($F215+$P215&lt;&gt;0,'CHUNG TU'!A206,"")</f>
      </c>
      <c r="C215" s="213">
        <f>IF($F215+$P215&lt;&gt;0,IF('CHUNG TU'!B206&lt;&gt;"",'CHUNG TU'!B206,IF('CHUNG TU'!C206&lt;&gt;"",'CHUNG TU'!C206,'CHUNG TU'!D206)),"")</f>
      </c>
      <c r="D215" s="213">
        <f>IF($F215+$P215&lt;&gt;0,'CHUNG TU'!F206,"")</f>
      </c>
      <c r="E215" s="213">
        <f>IF($F215+$P215&lt;&gt;0,'CHUNG TU'!H206,"")</f>
      </c>
      <c r="F215" s="213">
        <f>IF(LEFT('CHUNG TU'!I206,3)='CPSXKD 642_yếu tố'!$H$7,'CHUNG TU'!$L206,0)</f>
        <v>0</v>
      </c>
      <c r="G215" s="213">
        <f>IF(G$10='CHUNG TU'!$I206,'CHUNG TU'!$L206,0)</f>
        <v>0</v>
      </c>
      <c r="H215" s="213">
        <f>IF(H$10='CHUNG TU'!$I206,'CHUNG TU'!$L206,0)</f>
        <v>0</v>
      </c>
      <c r="I215" s="213">
        <f>IF(I$10='CHUNG TU'!$I206,'CHUNG TU'!$L206,0)</f>
        <v>0</v>
      </c>
      <c r="J215" s="213">
        <f>IF(J$10='CHUNG TU'!$I206,'CHUNG TU'!$L206,0)</f>
        <v>0</v>
      </c>
      <c r="K215" s="213">
        <f>IF(K$10='CHUNG TU'!$I206,'CHUNG TU'!$L206,0)</f>
        <v>0</v>
      </c>
      <c r="L215" s="213">
        <f>IF(L$10='CHUNG TU'!$I206,'CHUNG TU'!$L206,0)</f>
        <v>0</v>
      </c>
      <c r="M215" s="213">
        <f>IF(M$10='CHUNG TU'!$I206,'CHUNG TU'!$L206,0)</f>
        <v>0</v>
      </c>
      <c r="N215" s="213">
        <f>IF(N$10='CHUNG TU'!$I206,'CHUNG TU'!$L206,0)</f>
        <v>0</v>
      </c>
      <c r="O215" s="213">
        <f>IF(F215&lt;&gt;0,'CHUNG TU'!J206,"")</f>
      </c>
      <c r="P215" s="213">
        <f>IF(LEFT('CHUNG TU'!J206,3)='CPSXKD 642_yếu tố'!$H$7,'CHUNG TU'!$L206,0)</f>
        <v>0</v>
      </c>
      <c r="Q215" s="213">
        <f>IF(P215&lt;&gt;0,'CHUNG TU'!I206,"")</f>
      </c>
    </row>
    <row r="216" spans="2:17" ht="12.75">
      <c r="B216" s="213">
        <f>IF($F216+$P216&lt;&gt;0,'CHUNG TU'!A207,"")</f>
      </c>
      <c r="C216" s="213">
        <f>IF($F216+$P216&lt;&gt;0,IF('CHUNG TU'!B207&lt;&gt;"",'CHUNG TU'!B207,IF('CHUNG TU'!C207&lt;&gt;"",'CHUNG TU'!C207,'CHUNG TU'!D207)),"")</f>
      </c>
      <c r="D216" s="213">
        <f>IF($F216+$P216&lt;&gt;0,'CHUNG TU'!F207,"")</f>
      </c>
      <c r="E216" s="213">
        <f>IF($F216+$P216&lt;&gt;0,'CHUNG TU'!H207,"")</f>
      </c>
      <c r="F216" s="213">
        <f>IF(LEFT('CHUNG TU'!I207,3)='CPSXKD 642_yếu tố'!$H$7,'CHUNG TU'!$L207,0)</f>
        <v>0</v>
      </c>
      <c r="G216" s="213">
        <f>IF(G$10='CHUNG TU'!$I207,'CHUNG TU'!$L207,0)</f>
        <v>0</v>
      </c>
      <c r="H216" s="213">
        <f>IF(H$10='CHUNG TU'!$I207,'CHUNG TU'!$L207,0)</f>
        <v>0</v>
      </c>
      <c r="I216" s="213">
        <f>IF(I$10='CHUNG TU'!$I207,'CHUNG TU'!$L207,0)</f>
        <v>0</v>
      </c>
      <c r="J216" s="213">
        <f>IF(J$10='CHUNG TU'!$I207,'CHUNG TU'!$L207,0)</f>
        <v>0</v>
      </c>
      <c r="K216" s="213">
        <f>IF(K$10='CHUNG TU'!$I207,'CHUNG TU'!$L207,0)</f>
        <v>0</v>
      </c>
      <c r="L216" s="213">
        <f>IF(L$10='CHUNG TU'!$I207,'CHUNG TU'!$L207,0)</f>
        <v>0</v>
      </c>
      <c r="M216" s="213">
        <f>IF(M$10='CHUNG TU'!$I207,'CHUNG TU'!$L207,0)</f>
        <v>0</v>
      </c>
      <c r="N216" s="213">
        <f>IF(N$10='CHUNG TU'!$I207,'CHUNG TU'!$L207,0)</f>
        <v>0</v>
      </c>
      <c r="O216" s="213">
        <f>IF(F216&lt;&gt;0,'CHUNG TU'!J207,"")</f>
      </c>
      <c r="P216" s="213">
        <f>IF(LEFT('CHUNG TU'!J207,3)='CPSXKD 642_yếu tố'!$H$7,'CHUNG TU'!$L207,0)</f>
        <v>0</v>
      </c>
      <c r="Q216" s="213">
        <f>IF(P216&lt;&gt;0,'CHUNG TU'!I207,"")</f>
      </c>
    </row>
    <row r="217" spans="2:17" ht="12.75">
      <c r="B217" s="213">
        <f>IF($F217+$P217&lt;&gt;0,'CHUNG TU'!A208,"")</f>
      </c>
      <c r="C217" s="213">
        <f>IF($F217+$P217&lt;&gt;0,IF('CHUNG TU'!B208&lt;&gt;"",'CHUNG TU'!B208,IF('CHUNG TU'!C208&lt;&gt;"",'CHUNG TU'!C208,'CHUNG TU'!D208)),"")</f>
      </c>
      <c r="D217" s="213">
        <f>IF($F217+$P217&lt;&gt;0,'CHUNG TU'!F208,"")</f>
      </c>
      <c r="E217" s="213">
        <f>IF($F217+$P217&lt;&gt;0,'CHUNG TU'!H208,"")</f>
      </c>
      <c r="F217" s="213">
        <f>IF(LEFT('CHUNG TU'!I208,3)='CPSXKD 642_yếu tố'!$H$7,'CHUNG TU'!$L208,0)</f>
        <v>0</v>
      </c>
      <c r="G217" s="213">
        <f>IF(G$10='CHUNG TU'!$I208,'CHUNG TU'!$L208,0)</f>
        <v>0</v>
      </c>
      <c r="H217" s="213">
        <f>IF(H$10='CHUNG TU'!$I208,'CHUNG TU'!$L208,0)</f>
        <v>0</v>
      </c>
      <c r="I217" s="213">
        <f>IF(I$10='CHUNG TU'!$I208,'CHUNG TU'!$L208,0)</f>
        <v>0</v>
      </c>
      <c r="J217" s="213">
        <f>IF(J$10='CHUNG TU'!$I208,'CHUNG TU'!$L208,0)</f>
        <v>0</v>
      </c>
      <c r="K217" s="213">
        <f>IF(K$10='CHUNG TU'!$I208,'CHUNG TU'!$L208,0)</f>
        <v>0</v>
      </c>
      <c r="L217" s="213">
        <f>IF(L$10='CHUNG TU'!$I208,'CHUNG TU'!$L208,0)</f>
        <v>0</v>
      </c>
      <c r="M217" s="213">
        <f>IF(M$10='CHUNG TU'!$I208,'CHUNG TU'!$L208,0)</f>
        <v>0</v>
      </c>
      <c r="N217" s="213">
        <f>IF(N$10='CHUNG TU'!$I208,'CHUNG TU'!$L208,0)</f>
        <v>0</v>
      </c>
      <c r="O217" s="213">
        <f>IF(F217&lt;&gt;0,'CHUNG TU'!J208,"")</f>
      </c>
      <c r="P217" s="213">
        <f>IF(LEFT('CHUNG TU'!J208,3)='CPSXKD 642_yếu tố'!$H$7,'CHUNG TU'!$L208,0)</f>
        <v>0</v>
      </c>
      <c r="Q217" s="213">
        <f>IF(P217&lt;&gt;0,'CHUNG TU'!I208,"")</f>
      </c>
    </row>
    <row r="218" spans="2:17" ht="12.75">
      <c r="B218" s="213">
        <f>IF($F218+$P218&lt;&gt;0,'CHUNG TU'!A209,"")</f>
      </c>
      <c r="C218" s="213">
        <f>IF($F218+$P218&lt;&gt;0,IF('CHUNG TU'!B209&lt;&gt;"",'CHUNG TU'!B209,IF('CHUNG TU'!C209&lt;&gt;"",'CHUNG TU'!C209,'CHUNG TU'!D209)),"")</f>
      </c>
      <c r="D218" s="213">
        <f>IF($F218+$P218&lt;&gt;0,'CHUNG TU'!F209,"")</f>
      </c>
      <c r="E218" s="213">
        <f>IF($F218+$P218&lt;&gt;0,'CHUNG TU'!H209,"")</f>
      </c>
      <c r="F218" s="213">
        <f>IF(LEFT('CHUNG TU'!I209,3)='CPSXKD 642_yếu tố'!$H$7,'CHUNG TU'!$L209,0)</f>
        <v>0</v>
      </c>
      <c r="G218" s="213">
        <f>IF(G$10='CHUNG TU'!$I209,'CHUNG TU'!$L209,0)</f>
        <v>0</v>
      </c>
      <c r="H218" s="213">
        <f>IF(H$10='CHUNG TU'!$I209,'CHUNG TU'!$L209,0)</f>
        <v>0</v>
      </c>
      <c r="I218" s="213">
        <f>IF(I$10='CHUNG TU'!$I209,'CHUNG TU'!$L209,0)</f>
        <v>0</v>
      </c>
      <c r="J218" s="213">
        <f>IF(J$10='CHUNG TU'!$I209,'CHUNG TU'!$L209,0)</f>
        <v>0</v>
      </c>
      <c r="K218" s="213">
        <f>IF(K$10='CHUNG TU'!$I209,'CHUNG TU'!$L209,0)</f>
        <v>0</v>
      </c>
      <c r="L218" s="213">
        <f>IF(L$10='CHUNG TU'!$I209,'CHUNG TU'!$L209,0)</f>
        <v>0</v>
      </c>
      <c r="M218" s="213">
        <f>IF(M$10='CHUNG TU'!$I209,'CHUNG TU'!$L209,0)</f>
        <v>0</v>
      </c>
      <c r="N218" s="213">
        <f>IF(N$10='CHUNG TU'!$I209,'CHUNG TU'!$L209,0)</f>
        <v>0</v>
      </c>
      <c r="O218" s="213">
        <f>IF(F218&lt;&gt;0,'CHUNG TU'!J209,"")</f>
      </c>
      <c r="P218" s="213">
        <f>IF(LEFT('CHUNG TU'!J209,3)='CPSXKD 642_yếu tố'!$H$7,'CHUNG TU'!$L209,0)</f>
        <v>0</v>
      </c>
      <c r="Q218" s="213">
        <f>IF(P218&lt;&gt;0,'CHUNG TU'!I209,"")</f>
      </c>
    </row>
    <row r="219" spans="2:17" ht="12.75">
      <c r="B219" s="213">
        <f>IF($F219+$P219&lt;&gt;0,'CHUNG TU'!A210,"")</f>
      </c>
      <c r="C219" s="213">
        <f>IF($F219+$P219&lt;&gt;0,IF('CHUNG TU'!B210&lt;&gt;"",'CHUNG TU'!B210,IF('CHUNG TU'!C210&lt;&gt;"",'CHUNG TU'!C210,'CHUNG TU'!D210)),"")</f>
      </c>
      <c r="D219" s="213">
        <f>IF($F219+$P219&lt;&gt;0,'CHUNG TU'!F210,"")</f>
      </c>
      <c r="E219" s="213">
        <f>IF($F219+$P219&lt;&gt;0,'CHUNG TU'!H210,"")</f>
      </c>
      <c r="F219" s="213">
        <f>IF(LEFT('CHUNG TU'!I210,3)='CPSXKD 642_yếu tố'!$H$7,'CHUNG TU'!$L210,0)</f>
        <v>0</v>
      </c>
      <c r="G219" s="213">
        <f>IF(G$10='CHUNG TU'!$I210,'CHUNG TU'!$L210,0)</f>
        <v>0</v>
      </c>
      <c r="H219" s="213">
        <f>IF(H$10='CHUNG TU'!$I210,'CHUNG TU'!$L210,0)</f>
        <v>0</v>
      </c>
      <c r="I219" s="213">
        <f>IF(I$10='CHUNG TU'!$I210,'CHUNG TU'!$L210,0)</f>
        <v>0</v>
      </c>
      <c r="J219" s="213">
        <f>IF(J$10='CHUNG TU'!$I210,'CHUNG TU'!$L210,0)</f>
        <v>0</v>
      </c>
      <c r="K219" s="213">
        <f>IF(K$10='CHUNG TU'!$I210,'CHUNG TU'!$L210,0)</f>
        <v>0</v>
      </c>
      <c r="L219" s="213">
        <f>IF(L$10='CHUNG TU'!$I210,'CHUNG TU'!$L210,0)</f>
        <v>0</v>
      </c>
      <c r="M219" s="213">
        <f>IF(M$10='CHUNG TU'!$I210,'CHUNG TU'!$L210,0)</f>
        <v>0</v>
      </c>
      <c r="N219" s="213">
        <f>IF(N$10='CHUNG TU'!$I210,'CHUNG TU'!$L210,0)</f>
        <v>0</v>
      </c>
      <c r="O219" s="213">
        <f>IF(F219&lt;&gt;0,'CHUNG TU'!J210,"")</f>
      </c>
      <c r="P219" s="213">
        <f>IF(LEFT('CHUNG TU'!J210,3)='CPSXKD 642_yếu tố'!$H$7,'CHUNG TU'!$L210,0)</f>
        <v>0</v>
      </c>
      <c r="Q219" s="213">
        <f>IF(P219&lt;&gt;0,'CHUNG TU'!I210,"")</f>
      </c>
    </row>
    <row r="220" spans="2:17" ht="12.75">
      <c r="B220" s="213">
        <f>IF($F220+$P220&lt;&gt;0,'CHUNG TU'!A211,"")</f>
      </c>
      <c r="C220" s="213">
        <f>IF($F220+$P220&lt;&gt;0,IF('CHUNG TU'!B211&lt;&gt;"",'CHUNG TU'!B211,IF('CHUNG TU'!C211&lt;&gt;"",'CHUNG TU'!C211,'CHUNG TU'!D211)),"")</f>
      </c>
      <c r="D220" s="213">
        <f>IF($F220+$P220&lt;&gt;0,'CHUNG TU'!F211,"")</f>
      </c>
      <c r="E220" s="213">
        <f>IF($F220+$P220&lt;&gt;0,'CHUNG TU'!H211,"")</f>
      </c>
      <c r="F220" s="213">
        <f>IF(LEFT('CHUNG TU'!I211,3)='CPSXKD 642_yếu tố'!$H$7,'CHUNG TU'!$L211,0)</f>
        <v>0</v>
      </c>
      <c r="G220" s="213">
        <f>IF(G$10='CHUNG TU'!$I211,'CHUNG TU'!$L211,0)</f>
        <v>0</v>
      </c>
      <c r="H220" s="213">
        <f>IF(H$10='CHUNG TU'!$I211,'CHUNG TU'!$L211,0)</f>
        <v>0</v>
      </c>
      <c r="I220" s="213">
        <f>IF(I$10='CHUNG TU'!$I211,'CHUNG TU'!$L211,0)</f>
        <v>0</v>
      </c>
      <c r="J220" s="213">
        <f>IF(J$10='CHUNG TU'!$I211,'CHUNG TU'!$L211,0)</f>
        <v>0</v>
      </c>
      <c r="K220" s="213">
        <f>IF(K$10='CHUNG TU'!$I211,'CHUNG TU'!$L211,0)</f>
        <v>0</v>
      </c>
      <c r="L220" s="213">
        <f>IF(L$10='CHUNG TU'!$I211,'CHUNG TU'!$L211,0)</f>
        <v>0</v>
      </c>
      <c r="M220" s="213">
        <f>IF(M$10='CHUNG TU'!$I211,'CHUNG TU'!$L211,0)</f>
        <v>0</v>
      </c>
      <c r="N220" s="213">
        <f>IF(N$10='CHUNG TU'!$I211,'CHUNG TU'!$L211,0)</f>
        <v>0</v>
      </c>
      <c r="O220" s="213">
        <f>IF(F220&lt;&gt;0,'CHUNG TU'!J211,"")</f>
      </c>
      <c r="P220" s="213">
        <f>IF(LEFT('CHUNG TU'!J211,3)='CPSXKD 642_yếu tố'!$H$7,'CHUNG TU'!$L211,0)</f>
        <v>0</v>
      </c>
      <c r="Q220" s="213">
        <f>IF(P220&lt;&gt;0,'CHUNG TU'!I211,"")</f>
      </c>
    </row>
    <row r="221" spans="2:17" ht="12.75">
      <c r="B221" s="213">
        <f>IF($F221+$P221&lt;&gt;0,'CHUNG TU'!A212,"")</f>
      </c>
      <c r="C221" s="213">
        <f>IF($F221+$P221&lt;&gt;0,IF('CHUNG TU'!B212&lt;&gt;"",'CHUNG TU'!B212,IF('CHUNG TU'!C212&lt;&gt;"",'CHUNG TU'!C212,'CHUNG TU'!D212)),"")</f>
      </c>
      <c r="D221" s="213">
        <f>IF($F221+$P221&lt;&gt;0,'CHUNG TU'!F212,"")</f>
      </c>
      <c r="E221" s="213">
        <f>IF($F221+$P221&lt;&gt;0,'CHUNG TU'!H212,"")</f>
      </c>
      <c r="F221" s="213">
        <f>IF(LEFT('CHUNG TU'!I212,3)='CPSXKD 642_yếu tố'!$H$7,'CHUNG TU'!$L212,0)</f>
        <v>0</v>
      </c>
      <c r="G221" s="213">
        <f>IF(G$10='CHUNG TU'!$I212,'CHUNG TU'!$L212,0)</f>
        <v>0</v>
      </c>
      <c r="H221" s="213">
        <f>IF(H$10='CHUNG TU'!$I212,'CHUNG TU'!$L212,0)</f>
        <v>0</v>
      </c>
      <c r="I221" s="213">
        <f>IF(I$10='CHUNG TU'!$I212,'CHUNG TU'!$L212,0)</f>
        <v>0</v>
      </c>
      <c r="J221" s="213">
        <f>IF(J$10='CHUNG TU'!$I212,'CHUNG TU'!$L212,0)</f>
        <v>0</v>
      </c>
      <c r="K221" s="213">
        <f>IF(K$10='CHUNG TU'!$I212,'CHUNG TU'!$L212,0)</f>
        <v>0</v>
      </c>
      <c r="L221" s="213">
        <f>IF(L$10='CHUNG TU'!$I212,'CHUNG TU'!$L212,0)</f>
        <v>0</v>
      </c>
      <c r="M221" s="213">
        <f>IF(M$10='CHUNG TU'!$I212,'CHUNG TU'!$L212,0)</f>
        <v>0</v>
      </c>
      <c r="N221" s="213">
        <f>IF(N$10='CHUNG TU'!$I212,'CHUNG TU'!$L212,0)</f>
        <v>0</v>
      </c>
      <c r="O221" s="213">
        <f>IF(F221&lt;&gt;0,'CHUNG TU'!J212,"")</f>
      </c>
      <c r="P221" s="213">
        <f>IF(LEFT('CHUNG TU'!J212,3)='CPSXKD 642_yếu tố'!$H$7,'CHUNG TU'!$L212,0)</f>
        <v>0</v>
      </c>
      <c r="Q221" s="213">
        <f>IF(P221&lt;&gt;0,'CHUNG TU'!I212,"")</f>
      </c>
    </row>
    <row r="222" spans="2:17" ht="12.75">
      <c r="B222" s="213">
        <f>IF($F222+$P222&lt;&gt;0,'CHUNG TU'!A213,"")</f>
      </c>
      <c r="C222" s="213">
        <f>IF($F222+$P222&lt;&gt;0,IF('CHUNG TU'!B213&lt;&gt;"",'CHUNG TU'!B213,IF('CHUNG TU'!C213&lt;&gt;"",'CHUNG TU'!C213,'CHUNG TU'!D213)),"")</f>
      </c>
      <c r="D222" s="213">
        <f>IF($F222+$P222&lt;&gt;0,'CHUNG TU'!F213,"")</f>
      </c>
      <c r="E222" s="213">
        <f>IF($F222+$P222&lt;&gt;0,'CHUNG TU'!H213,"")</f>
      </c>
      <c r="F222" s="213">
        <f>IF(LEFT('CHUNG TU'!I213,3)='CPSXKD 642_yếu tố'!$H$7,'CHUNG TU'!$L213,0)</f>
        <v>0</v>
      </c>
      <c r="G222" s="213">
        <f>IF(G$10='CHUNG TU'!$I213,'CHUNG TU'!$L213,0)</f>
        <v>0</v>
      </c>
      <c r="H222" s="213">
        <f>IF(H$10='CHUNG TU'!$I213,'CHUNG TU'!$L213,0)</f>
        <v>0</v>
      </c>
      <c r="I222" s="213">
        <f>IF(I$10='CHUNG TU'!$I213,'CHUNG TU'!$L213,0)</f>
        <v>0</v>
      </c>
      <c r="J222" s="213">
        <f>IF(J$10='CHUNG TU'!$I213,'CHUNG TU'!$L213,0)</f>
        <v>0</v>
      </c>
      <c r="K222" s="213">
        <f>IF(K$10='CHUNG TU'!$I213,'CHUNG TU'!$L213,0)</f>
        <v>0</v>
      </c>
      <c r="L222" s="213">
        <f>IF(L$10='CHUNG TU'!$I213,'CHUNG TU'!$L213,0)</f>
        <v>0</v>
      </c>
      <c r="M222" s="213">
        <f>IF(M$10='CHUNG TU'!$I213,'CHUNG TU'!$L213,0)</f>
        <v>0</v>
      </c>
      <c r="N222" s="213">
        <f>IF(N$10='CHUNG TU'!$I213,'CHUNG TU'!$L213,0)</f>
        <v>0</v>
      </c>
      <c r="O222" s="213">
        <f>IF(F222&lt;&gt;0,'CHUNG TU'!J213,"")</f>
      </c>
      <c r="P222" s="213">
        <f>IF(LEFT('CHUNG TU'!J213,3)='CPSXKD 642_yếu tố'!$H$7,'CHUNG TU'!$L213,0)</f>
        <v>0</v>
      </c>
      <c r="Q222" s="213">
        <f>IF(P222&lt;&gt;0,'CHUNG TU'!I213,"")</f>
      </c>
    </row>
    <row r="223" spans="2:17" ht="12.75">
      <c r="B223" s="213">
        <f>IF($F223+$P223&lt;&gt;0,'CHUNG TU'!A214,"")</f>
      </c>
      <c r="C223" s="213">
        <f>IF($F223+$P223&lt;&gt;0,IF('CHUNG TU'!B214&lt;&gt;"",'CHUNG TU'!B214,IF('CHUNG TU'!C214&lt;&gt;"",'CHUNG TU'!C214,'CHUNG TU'!D214)),"")</f>
      </c>
      <c r="D223" s="213">
        <f>IF($F223+$P223&lt;&gt;0,'CHUNG TU'!F214,"")</f>
      </c>
      <c r="E223" s="213">
        <f>IF($F223+$P223&lt;&gt;0,'CHUNG TU'!H214,"")</f>
      </c>
      <c r="F223" s="213">
        <f>IF(LEFT('CHUNG TU'!I214,3)='CPSXKD 642_yếu tố'!$H$7,'CHUNG TU'!$L214,0)</f>
        <v>0</v>
      </c>
      <c r="G223" s="213">
        <f>IF(G$10='CHUNG TU'!$I214,'CHUNG TU'!$L214,0)</f>
        <v>0</v>
      </c>
      <c r="H223" s="213">
        <f>IF(H$10='CHUNG TU'!$I214,'CHUNG TU'!$L214,0)</f>
        <v>0</v>
      </c>
      <c r="I223" s="213">
        <f>IF(I$10='CHUNG TU'!$I214,'CHUNG TU'!$L214,0)</f>
        <v>0</v>
      </c>
      <c r="J223" s="213">
        <f>IF(J$10='CHUNG TU'!$I214,'CHUNG TU'!$L214,0)</f>
        <v>0</v>
      </c>
      <c r="K223" s="213">
        <f>IF(K$10='CHUNG TU'!$I214,'CHUNG TU'!$L214,0)</f>
        <v>0</v>
      </c>
      <c r="L223" s="213">
        <f>IF(L$10='CHUNG TU'!$I214,'CHUNG TU'!$L214,0)</f>
        <v>0</v>
      </c>
      <c r="M223" s="213">
        <f>IF(M$10='CHUNG TU'!$I214,'CHUNG TU'!$L214,0)</f>
        <v>0</v>
      </c>
      <c r="N223" s="213">
        <f>IF(N$10='CHUNG TU'!$I214,'CHUNG TU'!$L214,0)</f>
        <v>0</v>
      </c>
      <c r="O223" s="213">
        <f>IF(F223&lt;&gt;0,'CHUNG TU'!J214,"")</f>
      </c>
      <c r="P223" s="213">
        <f>IF(LEFT('CHUNG TU'!J214,3)='CPSXKD 642_yếu tố'!$H$7,'CHUNG TU'!$L214,0)</f>
        <v>0</v>
      </c>
      <c r="Q223" s="213">
        <f>IF(P223&lt;&gt;0,'CHUNG TU'!I214,"")</f>
      </c>
    </row>
    <row r="224" spans="2:17" ht="12.75">
      <c r="B224" s="213" t="str">
        <f>IF($F224+$P224&lt;&gt;0,'CHUNG TU'!A215,"")</f>
        <v>30/10/2020</v>
      </c>
      <c r="C224" s="213" t="str">
        <f>IF($F224+$P224&lt;&gt;0,IF('CHUNG TU'!B215&lt;&gt;"",'CHUNG TU'!B215,IF('CHUNG TU'!C215&lt;&gt;"",'CHUNG TU'!C215,'CHUNG TU'!D215)),"")</f>
        <v>PKT10/076</v>
      </c>
      <c r="D224" s="213" t="str">
        <f>IF($F224+$P224&lt;&gt;0,'CHUNG TU'!F215,"")</f>
        <v>30/10/2020</v>
      </c>
      <c r="E224" s="213" t="str">
        <f>IF($F224+$P224&lt;&gt;0,'CHUNG TU'!H215,"")</f>
        <v>Lập dự phòng phải thu khó đòi</v>
      </c>
      <c r="F224" s="213">
        <f>IF(LEFT('CHUNG TU'!I215,3)='CPSXKD 642_yếu tố'!$H$7,'CHUNG TU'!$L215,0)</f>
        <v>5500000</v>
      </c>
      <c r="G224" s="213">
        <f>IF(G$10='CHUNG TU'!$I215,'CHUNG TU'!$L215,0)</f>
        <v>0</v>
      </c>
      <c r="H224" s="213">
        <f>IF(H$10='CHUNG TU'!$I215,'CHUNG TU'!$L215,0)</f>
        <v>0</v>
      </c>
      <c r="I224" s="213">
        <f>IF(I$10='CHUNG TU'!$I215,'CHUNG TU'!$L215,0)</f>
        <v>0</v>
      </c>
      <c r="J224" s="213">
        <f>IF(J$10='CHUNG TU'!$I215,'CHUNG TU'!$L215,0)</f>
        <v>0</v>
      </c>
      <c r="K224" s="213">
        <f>IF(K$10='CHUNG TU'!$I215,'CHUNG TU'!$L215,0)</f>
        <v>0</v>
      </c>
      <c r="L224" s="213">
        <f>IF(L$10='CHUNG TU'!$I215,'CHUNG TU'!$L215,0)</f>
        <v>5500000</v>
      </c>
      <c r="M224" s="213">
        <f>IF(M$10='CHUNG TU'!$I215,'CHUNG TU'!$L215,0)</f>
        <v>0</v>
      </c>
      <c r="N224" s="213">
        <f>IF(N$10='CHUNG TU'!$I215,'CHUNG TU'!$L215,0)</f>
        <v>0</v>
      </c>
      <c r="O224" s="213" t="str">
        <f>IF(F224&lt;&gt;0,'CHUNG TU'!J215,"")</f>
        <v>22931</v>
      </c>
      <c r="P224" s="213">
        <f>IF(LEFT('CHUNG TU'!J215,3)='CPSXKD 642_yếu tố'!$H$7,'CHUNG TU'!$L215,0)</f>
        <v>0</v>
      </c>
      <c r="Q224" s="213">
        <f>IF(P224&lt;&gt;0,'CHUNG TU'!I215,"")</f>
      </c>
    </row>
    <row r="225" spans="2:17" ht="12.75">
      <c r="B225" s="213">
        <f>IF($F225+$P225&lt;&gt;0,'CHUNG TU'!A216,"")</f>
      </c>
      <c r="C225" s="213">
        <f>IF($F225+$P225&lt;&gt;0,IF('CHUNG TU'!B216&lt;&gt;"",'CHUNG TU'!B216,IF('CHUNG TU'!C216&lt;&gt;"",'CHUNG TU'!C216,'CHUNG TU'!D216)),"")</f>
      </c>
      <c r="D225" s="213">
        <f>IF($F225+$P225&lt;&gt;0,'CHUNG TU'!F216,"")</f>
      </c>
      <c r="E225" s="213">
        <f>IF($F225+$P225&lt;&gt;0,'CHUNG TU'!H216,"")</f>
      </c>
      <c r="F225" s="213">
        <f>IF(LEFT('CHUNG TU'!I216,3)='CPSXKD 642_yếu tố'!$H$7,'CHUNG TU'!$L216,0)</f>
        <v>0</v>
      </c>
      <c r="G225" s="213">
        <f>IF(G$10='CHUNG TU'!$I216,'CHUNG TU'!$L216,0)</f>
        <v>0</v>
      </c>
      <c r="H225" s="213">
        <f>IF(H$10='CHUNG TU'!$I216,'CHUNG TU'!$L216,0)</f>
        <v>0</v>
      </c>
      <c r="I225" s="213">
        <f>IF(I$10='CHUNG TU'!$I216,'CHUNG TU'!$L216,0)</f>
        <v>0</v>
      </c>
      <c r="J225" s="213">
        <f>IF(J$10='CHUNG TU'!$I216,'CHUNG TU'!$L216,0)</f>
        <v>0</v>
      </c>
      <c r="K225" s="213">
        <f>IF(K$10='CHUNG TU'!$I216,'CHUNG TU'!$L216,0)</f>
        <v>0</v>
      </c>
      <c r="L225" s="213">
        <f>IF(L$10='CHUNG TU'!$I216,'CHUNG TU'!$L216,0)</f>
        <v>0</v>
      </c>
      <c r="M225" s="213">
        <f>IF(M$10='CHUNG TU'!$I216,'CHUNG TU'!$L216,0)</f>
        <v>0</v>
      </c>
      <c r="N225" s="213">
        <f>IF(N$10='CHUNG TU'!$I216,'CHUNG TU'!$L216,0)</f>
        <v>0</v>
      </c>
      <c r="O225" s="213">
        <f>IF(F225&lt;&gt;0,'CHUNG TU'!J216,"")</f>
      </c>
      <c r="P225" s="213">
        <f>IF(LEFT('CHUNG TU'!J216,3)='CPSXKD 642_yếu tố'!$H$7,'CHUNG TU'!$L216,0)</f>
        <v>0</v>
      </c>
      <c r="Q225" s="213">
        <f>IF(P225&lt;&gt;0,'CHUNG TU'!I216,"")</f>
      </c>
    </row>
    <row r="226" spans="2:17" ht="12.75">
      <c r="B226" s="213">
        <f>IF($F226+$P226&lt;&gt;0,'CHUNG TU'!A217,"")</f>
      </c>
      <c r="C226" s="213">
        <f>IF($F226+$P226&lt;&gt;0,IF('CHUNG TU'!B217&lt;&gt;"",'CHUNG TU'!B217,IF('CHUNG TU'!C217&lt;&gt;"",'CHUNG TU'!C217,'CHUNG TU'!D217)),"")</f>
      </c>
      <c r="D226" s="213">
        <f>IF($F226+$P226&lt;&gt;0,'CHUNG TU'!F217,"")</f>
      </c>
      <c r="E226" s="213">
        <f>IF($F226+$P226&lt;&gt;0,'CHUNG TU'!H217,"")</f>
      </c>
      <c r="F226" s="213">
        <f>IF(LEFT('CHUNG TU'!I217,3)='CPSXKD 642_yếu tố'!$H$7,'CHUNG TU'!$L217,0)</f>
        <v>0</v>
      </c>
      <c r="G226" s="213">
        <f>IF(G$10='CHUNG TU'!$I217,'CHUNG TU'!$L217,0)</f>
        <v>0</v>
      </c>
      <c r="H226" s="213">
        <f>IF(H$10='CHUNG TU'!$I217,'CHUNG TU'!$L217,0)</f>
        <v>0</v>
      </c>
      <c r="I226" s="213">
        <f>IF(I$10='CHUNG TU'!$I217,'CHUNG TU'!$L217,0)</f>
        <v>0</v>
      </c>
      <c r="J226" s="213">
        <f>IF(J$10='CHUNG TU'!$I217,'CHUNG TU'!$L217,0)</f>
        <v>0</v>
      </c>
      <c r="K226" s="213">
        <f>IF(K$10='CHUNG TU'!$I217,'CHUNG TU'!$L217,0)</f>
        <v>0</v>
      </c>
      <c r="L226" s="213">
        <f>IF(L$10='CHUNG TU'!$I217,'CHUNG TU'!$L217,0)</f>
        <v>0</v>
      </c>
      <c r="M226" s="213">
        <f>IF(M$10='CHUNG TU'!$I217,'CHUNG TU'!$L217,0)</f>
        <v>0</v>
      </c>
      <c r="N226" s="213">
        <f>IF(N$10='CHUNG TU'!$I217,'CHUNG TU'!$L217,0)</f>
        <v>0</v>
      </c>
      <c r="O226" s="213">
        <f>IF(F226&lt;&gt;0,'CHUNG TU'!J217,"")</f>
      </c>
      <c r="P226" s="213">
        <f>IF(LEFT('CHUNG TU'!J217,3)='CPSXKD 642_yếu tố'!$H$7,'CHUNG TU'!$L217,0)</f>
        <v>0</v>
      </c>
      <c r="Q226" s="213">
        <f>IF(P226&lt;&gt;0,'CHUNG TU'!I217,"")</f>
      </c>
    </row>
    <row r="227" spans="2:17" ht="12.75">
      <c r="B227" s="213">
        <f>IF($F227+$P227&lt;&gt;0,'CHUNG TU'!A218,"")</f>
      </c>
      <c r="C227" s="213">
        <f>IF($F227+$P227&lt;&gt;0,IF('CHUNG TU'!B218&lt;&gt;"",'CHUNG TU'!B218,IF('CHUNG TU'!C218&lt;&gt;"",'CHUNG TU'!C218,'CHUNG TU'!D218)),"")</f>
      </c>
      <c r="D227" s="213">
        <f>IF($F227+$P227&lt;&gt;0,'CHUNG TU'!F218,"")</f>
      </c>
      <c r="E227" s="213">
        <f>IF($F227+$P227&lt;&gt;0,'CHUNG TU'!H218,"")</f>
      </c>
      <c r="F227" s="213">
        <f>IF(LEFT('CHUNG TU'!I218,3)='CPSXKD 642_yếu tố'!$H$7,'CHUNG TU'!$L218,0)</f>
        <v>0</v>
      </c>
      <c r="G227" s="213">
        <f>IF(G$10='CHUNG TU'!$I218,'CHUNG TU'!$L218,0)</f>
        <v>0</v>
      </c>
      <c r="H227" s="213">
        <f>IF(H$10='CHUNG TU'!$I218,'CHUNG TU'!$L218,0)</f>
        <v>0</v>
      </c>
      <c r="I227" s="213">
        <f>IF(I$10='CHUNG TU'!$I218,'CHUNG TU'!$L218,0)</f>
        <v>0</v>
      </c>
      <c r="J227" s="213">
        <f>IF(J$10='CHUNG TU'!$I218,'CHUNG TU'!$L218,0)</f>
        <v>0</v>
      </c>
      <c r="K227" s="213">
        <f>IF(K$10='CHUNG TU'!$I218,'CHUNG TU'!$L218,0)</f>
        <v>0</v>
      </c>
      <c r="L227" s="213">
        <f>IF(L$10='CHUNG TU'!$I218,'CHUNG TU'!$L218,0)</f>
        <v>0</v>
      </c>
      <c r="M227" s="213">
        <f>IF(M$10='CHUNG TU'!$I218,'CHUNG TU'!$L218,0)</f>
        <v>0</v>
      </c>
      <c r="N227" s="213">
        <f>IF(N$10='CHUNG TU'!$I218,'CHUNG TU'!$L218,0)</f>
        <v>0</v>
      </c>
      <c r="O227" s="213">
        <f>IF(F227&lt;&gt;0,'CHUNG TU'!J218,"")</f>
      </c>
      <c r="P227" s="213">
        <f>IF(LEFT('CHUNG TU'!J218,3)='CPSXKD 642_yếu tố'!$H$7,'CHUNG TU'!$L218,0)</f>
        <v>0</v>
      </c>
      <c r="Q227" s="213">
        <f>IF(P227&lt;&gt;0,'CHUNG TU'!I218,"")</f>
      </c>
    </row>
    <row r="228" spans="2:17" ht="12.75">
      <c r="B228" s="213">
        <f>IF($F228+$P228&lt;&gt;0,'CHUNG TU'!A219,"")</f>
      </c>
      <c r="C228" s="213">
        <f>IF($F228+$P228&lt;&gt;0,IF('CHUNG TU'!B219&lt;&gt;"",'CHUNG TU'!B219,IF('CHUNG TU'!C219&lt;&gt;"",'CHUNG TU'!C219,'CHUNG TU'!D219)),"")</f>
      </c>
      <c r="D228" s="213">
        <f>IF($F228+$P228&lt;&gt;0,'CHUNG TU'!F219,"")</f>
      </c>
      <c r="E228" s="213">
        <f>IF($F228+$P228&lt;&gt;0,'CHUNG TU'!H219,"")</f>
      </c>
      <c r="F228" s="213">
        <f>IF(LEFT('CHUNG TU'!I219,3)='CPSXKD 642_yếu tố'!$H$7,'CHUNG TU'!$L219,0)</f>
        <v>0</v>
      </c>
      <c r="G228" s="213">
        <f>IF(G$10='CHUNG TU'!$I219,'CHUNG TU'!$L219,0)</f>
        <v>0</v>
      </c>
      <c r="H228" s="213">
        <f>IF(H$10='CHUNG TU'!$I219,'CHUNG TU'!$L219,0)</f>
        <v>0</v>
      </c>
      <c r="I228" s="213">
        <f>IF(I$10='CHUNG TU'!$I219,'CHUNG TU'!$L219,0)</f>
        <v>0</v>
      </c>
      <c r="J228" s="213">
        <f>IF(J$10='CHUNG TU'!$I219,'CHUNG TU'!$L219,0)</f>
        <v>0</v>
      </c>
      <c r="K228" s="213">
        <f>IF(K$10='CHUNG TU'!$I219,'CHUNG TU'!$L219,0)</f>
        <v>0</v>
      </c>
      <c r="L228" s="213">
        <f>IF(L$10='CHUNG TU'!$I219,'CHUNG TU'!$L219,0)</f>
        <v>0</v>
      </c>
      <c r="M228" s="213">
        <f>IF(M$10='CHUNG TU'!$I219,'CHUNG TU'!$L219,0)</f>
        <v>0</v>
      </c>
      <c r="N228" s="213">
        <f>IF(N$10='CHUNG TU'!$I219,'CHUNG TU'!$L219,0)</f>
        <v>0</v>
      </c>
      <c r="O228" s="213">
        <f>IF(F228&lt;&gt;0,'CHUNG TU'!J219,"")</f>
      </c>
      <c r="P228" s="213">
        <f>IF(LEFT('CHUNG TU'!J219,3)='CPSXKD 642_yếu tố'!$H$7,'CHUNG TU'!$L219,0)</f>
        <v>0</v>
      </c>
      <c r="Q228" s="213">
        <f>IF(P228&lt;&gt;0,'CHUNG TU'!I219,"")</f>
      </c>
    </row>
    <row r="229" spans="2:17" ht="12.75">
      <c r="B229" s="213" t="str">
        <f>IF($F229+$P229&lt;&gt;0,'CHUNG TU'!A220,"")</f>
        <v>30/10/2020</v>
      </c>
      <c r="C229" s="213" t="str">
        <f>IF($F229+$P229&lt;&gt;0,IF('CHUNG TU'!B220&lt;&gt;"",'CHUNG TU'!B220,IF('CHUNG TU'!C220&lt;&gt;"",'CHUNG TU'!C220,'CHUNG TU'!D220)),"")</f>
        <v>PKT10/080</v>
      </c>
      <c r="D229" s="213" t="str">
        <f>IF($F229+$P229&lt;&gt;0,'CHUNG TU'!F220,"")</f>
        <v>30/10/2020</v>
      </c>
      <c r="E229" s="213" t="str">
        <f>IF($F229+$P229&lt;&gt;0,'CHUNG TU'!H220,"")</f>
        <v>Thuế môn bài phải nộp</v>
      </c>
      <c r="F229" s="213">
        <f>IF(LEFT('CHUNG TU'!I220,3)='CPSXKD 642_yếu tố'!$H$7,'CHUNG TU'!$L220,0)</f>
        <v>1500000</v>
      </c>
      <c r="G229" s="213">
        <f>IF(G$10='CHUNG TU'!$I220,'CHUNG TU'!$L220,0)</f>
        <v>0</v>
      </c>
      <c r="H229" s="213">
        <f>IF(H$10='CHUNG TU'!$I220,'CHUNG TU'!$L220,0)</f>
        <v>0</v>
      </c>
      <c r="I229" s="213">
        <f>IF(I$10='CHUNG TU'!$I220,'CHUNG TU'!$L220,0)</f>
        <v>0</v>
      </c>
      <c r="J229" s="213">
        <f>IF(J$10='CHUNG TU'!$I220,'CHUNG TU'!$L220,0)</f>
        <v>0</v>
      </c>
      <c r="K229" s="213">
        <f>IF(K$10='CHUNG TU'!$I220,'CHUNG TU'!$L220,0)</f>
        <v>1500000</v>
      </c>
      <c r="L229" s="213">
        <f>IF(L$10='CHUNG TU'!$I220,'CHUNG TU'!$L220,0)</f>
        <v>0</v>
      </c>
      <c r="M229" s="213">
        <f>IF(M$10='CHUNG TU'!$I220,'CHUNG TU'!$L220,0)</f>
        <v>0</v>
      </c>
      <c r="N229" s="213">
        <f>IF(N$10='CHUNG TU'!$I220,'CHUNG TU'!$L220,0)</f>
        <v>0</v>
      </c>
      <c r="O229" s="213" t="str">
        <f>IF(F229&lt;&gt;0,'CHUNG TU'!J220,"")</f>
        <v>3338</v>
      </c>
      <c r="P229" s="213">
        <f>IF(LEFT('CHUNG TU'!J220,3)='CPSXKD 642_yếu tố'!$H$7,'CHUNG TU'!$L220,0)</f>
        <v>0</v>
      </c>
      <c r="Q229" s="213">
        <f>IF(P229&lt;&gt;0,'CHUNG TU'!I220,"")</f>
      </c>
    </row>
    <row r="230" spans="2:17" ht="12.75">
      <c r="B230" s="213">
        <f>IF($F230+$P230&lt;&gt;0,'CHUNG TU'!A221,"")</f>
      </c>
      <c r="C230" s="213">
        <f>IF($F230+$P230&lt;&gt;0,IF('CHUNG TU'!B221&lt;&gt;"",'CHUNG TU'!B221,IF('CHUNG TU'!C221&lt;&gt;"",'CHUNG TU'!C221,'CHUNG TU'!D221)),"")</f>
      </c>
      <c r="D230" s="213">
        <f>IF($F230+$P230&lt;&gt;0,'CHUNG TU'!F221,"")</f>
      </c>
      <c r="E230" s="213">
        <f>IF($F230+$P230&lt;&gt;0,'CHUNG TU'!H221,"")</f>
      </c>
      <c r="F230" s="213">
        <f>IF(LEFT('CHUNG TU'!I221,3)='CPSXKD 642_yếu tố'!$H$7,'CHUNG TU'!$L221,0)</f>
        <v>0</v>
      </c>
      <c r="G230" s="213">
        <f>IF(G$10='CHUNG TU'!$I221,'CHUNG TU'!$L221,0)</f>
        <v>0</v>
      </c>
      <c r="H230" s="213">
        <f>IF(H$10='CHUNG TU'!$I221,'CHUNG TU'!$L221,0)</f>
        <v>0</v>
      </c>
      <c r="I230" s="213">
        <f>IF(I$10='CHUNG TU'!$I221,'CHUNG TU'!$L221,0)</f>
        <v>0</v>
      </c>
      <c r="J230" s="213">
        <f>IF(J$10='CHUNG TU'!$I221,'CHUNG TU'!$L221,0)</f>
        <v>0</v>
      </c>
      <c r="K230" s="213">
        <f>IF(K$10='CHUNG TU'!$I221,'CHUNG TU'!$L221,0)</f>
        <v>0</v>
      </c>
      <c r="L230" s="213">
        <f>IF(L$10='CHUNG TU'!$I221,'CHUNG TU'!$L221,0)</f>
        <v>0</v>
      </c>
      <c r="M230" s="213">
        <f>IF(M$10='CHUNG TU'!$I221,'CHUNG TU'!$L221,0)</f>
        <v>0</v>
      </c>
      <c r="N230" s="213">
        <f>IF(N$10='CHUNG TU'!$I221,'CHUNG TU'!$L221,0)</f>
        <v>0</v>
      </c>
      <c r="O230" s="213">
        <f>IF(F230&lt;&gt;0,'CHUNG TU'!J221,"")</f>
      </c>
      <c r="P230" s="213">
        <f>IF(LEFT('CHUNG TU'!J221,3)='CPSXKD 642_yếu tố'!$H$7,'CHUNG TU'!$L221,0)</f>
        <v>0</v>
      </c>
      <c r="Q230" s="213">
        <f>IF(P230&lt;&gt;0,'CHUNG TU'!I221,"")</f>
      </c>
    </row>
    <row r="231" spans="2:17" ht="12.75">
      <c r="B231" s="213">
        <f>IF($F231+$P231&lt;&gt;0,'CHUNG TU'!A222,"")</f>
      </c>
      <c r="C231" s="213">
        <f>IF($F231+$P231&lt;&gt;0,IF('CHUNG TU'!B222&lt;&gt;"",'CHUNG TU'!B222,IF('CHUNG TU'!C222&lt;&gt;"",'CHUNG TU'!C222,'CHUNG TU'!D222)),"")</f>
      </c>
      <c r="D231" s="213">
        <f>IF($F231+$P231&lt;&gt;0,'CHUNG TU'!F222,"")</f>
      </c>
      <c r="E231" s="213">
        <f>IF($F231+$P231&lt;&gt;0,'CHUNG TU'!H222,"")</f>
      </c>
      <c r="F231" s="213">
        <f>IF(LEFT('CHUNG TU'!I222,3)='CPSXKD 642_yếu tố'!$H$7,'CHUNG TU'!$L222,0)</f>
        <v>0</v>
      </c>
      <c r="G231" s="213">
        <f>IF(G$10='CHUNG TU'!$I222,'CHUNG TU'!$L222,0)</f>
        <v>0</v>
      </c>
      <c r="H231" s="213">
        <f>IF(H$10='CHUNG TU'!$I222,'CHUNG TU'!$L222,0)</f>
        <v>0</v>
      </c>
      <c r="I231" s="213">
        <f>IF(I$10='CHUNG TU'!$I222,'CHUNG TU'!$L222,0)</f>
        <v>0</v>
      </c>
      <c r="J231" s="213">
        <f>IF(J$10='CHUNG TU'!$I222,'CHUNG TU'!$L222,0)</f>
        <v>0</v>
      </c>
      <c r="K231" s="213">
        <f>IF(K$10='CHUNG TU'!$I222,'CHUNG TU'!$L222,0)</f>
        <v>0</v>
      </c>
      <c r="L231" s="213">
        <f>IF(L$10='CHUNG TU'!$I222,'CHUNG TU'!$L222,0)</f>
        <v>0</v>
      </c>
      <c r="M231" s="213">
        <f>IF(M$10='CHUNG TU'!$I222,'CHUNG TU'!$L222,0)</f>
        <v>0</v>
      </c>
      <c r="N231" s="213">
        <f>IF(N$10='CHUNG TU'!$I222,'CHUNG TU'!$L222,0)</f>
        <v>0</v>
      </c>
      <c r="O231" s="213">
        <f>IF(F231&lt;&gt;0,'CHUNG TU'!J222,"")</f>
      </c>
      <c r="P231" s="213">
        <f>IF(LEFT('CHUNG TU'!J222,3)='CPSXKD 642_yếu tố'!$H$7,'CHUNG TU'!$L222,0)</f>
        <v>0</v>
      </c>
      <c r="Q231" s="213">
        <f>IF(P231&lt;&gt;0,'CHUNG TU'!I222,"")</f>
      </c>
    </row>
    <row r="232" spans="2:17" ht="12.75">
      <c r="B232" s="213">
        <f>IF($F232+$P232&lt;&gt;0,'CHUNG TU'!A223,"")</f>
      </c>
      <c r="C232" s="213">
        <f>IF($F232+$P232&lt;&gt;0,IF('CHUNG TU'!B223&lt;&gt;"",'CHUNG TU'!B223,IF('CHUNG TU'!C223&lt;&gt;"",'CHUNG TU'!C223,'CHUNG TU'!D223)),"")</f>
      </c>
      <c r="D232" s="213">
        <f>IF($F232+$P232&lt;&gt;0,'CHUNG TU'!F223,"")</f>
      </c>
      <c r="E232" s="213">
        <f>IF($F232+$P232&lt;&gt;0,'CHUNG TU'!H223,"")</f>
      </c>
      <c r="F232" s="213">
        <f>IF(LEFT('CHUNG TU'!I223,3)='CPSXKD 642_yếu tố'!$H$7,'CHUNG TU'!$L223,0)</f>
        <v>0</v>
      </c>
      <c r="G232" s="213">
        <f>IF(G$10='CHUNG TU'!$I223,'CHUNG TU'!$L223,0)</f>
        <v>0</v>
      </c>
      <c r="H232" s="213">
        <f>IF(H$10='CHUNG TU'!$I223,'CHUNG TU'!$L223,0)</f>
        <v>0</v>
      </c>
      <c r="I232" s="213">
        <f>IF(I$10='CHUNG TU'!$I223,'CHUNG TU'!$L223,0)</f>
        <v>0</v>
      </c>
      <c r="J232" s="213">
        <f>IF(J$10='CHUNG TU'!$I223,'CHUNG TU'!$L223,0)</f>
        <v>0</v>
      </c>
      <c r="K232" s="213">
        <f>IF(K$10='CHUNG TU'!$I223,'CHUNG TU'!$L223,0)</f>
        <v>0</v>
      </c>
      <c r="L232" s="213">
        <f>IF(L$10='CHUNG TU'!$I223,'CHUNG TU'!$L223,0)</f>
        <v>0</v>
      </c>
      <c r="M232" s="213">
        <f>IF(M$10='CHUNG TU'!$I223,'CHUNG TU'!$L223,0)</f>
        <v>0</v>
      </c>
      <c r="N232" s="213">
        <f>IF(N$10='CHUNG TU'!$I223,'CHUNG TU'!$L223,0)</f>
        <v>0</v>
      </c>
      <c r="O232" s="213">
        <f>IF(F232&lt;&gt;0,'CHUNG TU'!J223,"")</f>
      </c>
      <c r="P232" s="213">
        <f>IF(LEFT('CHUNG TU'!J223,3)='CPSXKD 642_yếu tố'!$H$7,'CHUNG TU'!$L223,0)</f>
        <v>0</v>
      </c>
      <c r="Q232" s="213">
        <f>IF(P232&lt;&gt;0,'CHUNG TU'!I223,"")</f>
      </c>
    </row>
    <row r="233" spans="2:17" ht="12.75">
      <c r="B233" s="213">
        <f>IF($F233+$P233&lt;&gt;0,'CHUNG TU'!A224,"")</f>
      </c>
      <c r="C233" s="213">
        <f>IF($F233+$P233&lt;&gt;0,IF('CHUNG TU'!B224&lt;&gt;"",'CHUNG TU'!B224,IF('CHUNG TU'!C224&lt;&gt;"",'CHUNG TU'!C224,'CHUNG TU'!D224)),"")</f>
      </c>
      <c r="D233" s="213">
        <f>IF($F233+$P233&lt;&gt;0,'CHUNG TU'!F224,"")</f>
      </c>
      <c r="E233" s="213">
        <f>IF($F233+$P233&lt;&gt;0,'CHUNG TU'!H224,"")</f>
      </c>
      <c r="F233" s="213">
        <f>IF(LEFT('CHUNG TU'!I224,3)='CPSXKD 642_yếu tố'!$H$7,'CHUNG TU'!$L224,0)</f>
        <v>0</v>
      </c>
      <c r="G233" s="213">
        <f>IF(G$10='CHUNG TU'!$I224,'CHUNG TU'!$L224,0)</f>
        <v>0</v>
      </c>
      <c r="H233" s="213">
        <f>IF(H$10='CHUNG TU'!$I224,'CHUNG TU'!$L224,0)</f>
        <v>0</v>
      </c>
      <c r="I233" s="213">
        <f>IF(I$10='CHUNG TU'!$I224,'CHUNG TU'!$L224,0)</f>
        <v>0</v>
      </c>
      <c r="J233" s="213">
        <f>IF(J$10='CHUNG TU'!$I224,'CHUNG TU'!$L224,0)</f>
        <v>0</v>
      </c>
      <c r="K233" s="213">
        <f>IF(K$10='CHUNG TU'!$I224,'CHUNG TU'!$L224,0)</f>
        <v>0</v>
      </c>
      <c r="L233" s="213">
        <f>IF(L$10='CHUNG TU'!$I224,'CHUNG TU'!$L224,0)</f>
        <v>0</v>
      </c>
      <c r="M233" s="213">
        <f>IF(M$10='CHUNG TU'!$I224,'CHUNG TU'!$L224,0)</f>
        <v>0</v>
      </c>
      <c r="N233" s="213">
        <f>IF(N$10='CHUNG TU'!$I224,'CHUNG TU'!$L224,0)</f>
        <v>0</v>
      </c>
      <c r="O233" s="213">
        <f>IF(F233&lt;&gt;0,'CHUNG TU'!J224,"")</f>
      </c>
      <c r="P233" s="213">
        <f>IF(LEFT('CHUNG TU'!J224,3)='CPSXKD 642_yếu tố'!$H$7,'CHUNG TU'!$L224,0)</f>
        <v>0</v>
      </c>
      <c r="Q233" s="213">
        <f>IF(P233&lt;&gt;0,'CHUNG TU'!I224,"")</f>
      </c>
    </row>
    <row r="234" spans="2:17" ht="12.75">
      <c r="B234" s="213">
        <f>IF($F234+$P234&lt;&gt;0,'CHUNG TU'!A225,"")</f>
      </c>
      <c r="C234" s="213">
        <f>IF($F234+$P234&lt;&gt;0,IF('CHUNG TU'!B225&lt;&gt;"",'CHUNG TU'!B225,IF('CHUNG TU'!C225&lt;&gt;"",'CHUNG TU'!C225,'CHUNG TU'!D225)),"")</f>
      </c>
      <c r="D234" s="213">
        <f>IF($F234+$P234&lt;&gt;0,'CHUNG TU'!F225,"")</f>
      </c>
      <c r="E234" s="213">
        <f>IF($F234+$P234&lt;&gt;0,'CHUNG TU'!H225,"")</f>
      </c>
      <c r="F234" s="213">
        <f>IF(LEFT('CHUNG TU'!I225,3)='CPSXKD 642_yếu tố'!$H$7,'CHUNG TU'!$L225,0)</f>
        <v>0</v>
      </c>
      <c r="G234" s="213">
        <f>IF(G$10='CHUNG TU'!$I225,'CHUNG TU'!$L225,0)</f>
        <v>0</v>
      </c>
      <c r="H234" s="213">
        <f>IF(H$10='CHUNG TU'!$I225,'CHUNG TU'!$L225,0)</f>
        <v>0</v>
      </c>
      <c r="I234" s="213">
        <f>IF(I$10='CHUNG TU'!$I225,'CHUNG TU'!$L225,0)</f>
        <v>0</v>
      </c>
      <c r="J234" s="213">
        <f>IF(J$10='CHUNG TU'!$I225,'CHUNG TU'!$L225,0)</f>
        <v>0</v>
      </c>
      <c r="K234" s="213">
        <f>IF(K$10='CHUNG TU'!$I225,'CHUNG TU'!$L225,0)</f>
        <v>0</v>
      </c>
      <c r="L234" s="213">
        <f>IF(L$10='CHUNG TU'!$I225,'CHUNG TU'!$L225,0)</f>
        <v>0</v>
      </c>
      <c r="M234" s="213">
        <f>IF(M$10='CHUNG TU'!$I225,'CHUNG TU'!$L225,0)</f>
        <v>0</v>
      </c>
      <c r="N234" s="213">
        <f>IF(N$10='CHUNG TU'!$I225,'CHUNG TU'!$L225,0)</f>
        <v>0</v>
      </c>
      <c r="O234" s="213">
        <f>IF(F234&lt;&gt;0,'CHUNG TU'!J225,"")</f>
      </c>
      <c r="P234" s="213">
        <f>IF(LEFT('CHUNG TU'!J225,3)='CPSXKD 642_yếu tố'!$H$7,'CHUNG TU'!$L225,0)</f>
        <v>0</v>
      </c>
      <c r="Q234" s="213">
        <f>IF(P234&lt;&gt;0,'CHUNG TU'!I225,"")</f>
      </c>
    </row>
    <row r="235" spans="2:17" ht="12.75">
      <c r="B235" s="213">
        <f>IF($F235+$P235&lt;&gt;0,'CHUNG TU'!A226,"")</f>
      </c>
      <c r="C235" s="213">
        <f>IF($F235+$P235&lt;&gt;0,IF('CHUNG TU'!B226&lt;&gt;"",'CHUNG TU'!B226,IF('CHUNG TU'!C226&lt;&gt;"",'CHUNG TU'!C226,'CHUNG TU'!D226)),"")</f>
      </c>
      <c r="D235" s="213">
        <f>IF($F235+$P235&lt;&gt;0,'CHUNG TU'!F226,"")</f>
      </c>
      <c r="E235" s="213">
        <f>IF($F235+$P235&lt;&gt;0,'CHUNG TU'!H226,"")</f>
      </c>
      <c r="F235" s="213">
        <f>IF(LEFT('CHUNG TU'!I226,3)='CPSXKD 642_yếu tố'!$H$7,'CHUNG TU'!$L226,0)</f>
        <v>0</v>
      </c>
      <c r="G235" s="213">
        <f>IF(G$10='CHUNG TU'!$I226,'CHUNG TU'!$L226,0)</f>
        <v>0</v>
      </c>
      <c r="H235" s="213">
        <f>IF(H$10='CHUNG TU'!$I226,'CHUNG TU'!$L226,0)</f>
        <v>0</v>
      </c>
      <c r="I235" s="213">
        <f>IF(I$10='CHUNG TU'!$I226,'CHUNG TU'!$L226,0)</f>
        <v>0</v>
      </c>
      <c r="J235" s="213">
        <f>IF(J$10='CHUNG TU'!$I226,'CHUNG TU'!$L226,0)</f>
        <v>0</v>
      </c>
      <c r="K235" s="213">
        <f>IF(K$10='CHUNG TU'!$I226,'CHUNG TU'!$L226,0)</f>
        <v>0</v>
      </c>
      <c r="L235" s="213">
        <f>IF(L$10='CHUNG TU'!$I226,'CHUNG TU'!$L226,0)</f>
        <v>0</v>
      </c>
      <c r="M235" s="213">
        <f>IF(M$10='CHUNG TU'!$I226,'CHUNG TU'!$L226,0)</f>
        <v>0</v>
      </c>
      <c r="N235" s="213">
        <f>IF(N$10='CHUNG TU'!$I226,'CHUNG TU'!$L226,0)</f>
        <v>0</v>
      </c>
      <c r="O235" s="213">
        <f>IF(F235&lt;&gt;0,'CHUNG TU'!J226,"")</f>
      </c>
      <c r="P235" s="213">
        <f>IF(LEFT('CHUNG TU'!J226,3)='CPSXKD 642_yếu tố'!$H$7,'CHUNG TU'!$L226,0)</f>
        <v>0</v>
      </c>
      <c r="Q235" s="213">
        <f>IF(P235&lt;&gt;0,'CHUNG TU'!I226,"")</f>
      </c>
    </row>
    <row r="236" spans="2:17" ht="12.75">
      <c r="B236" s="213">
        <f>IF($F236+$P236&lt;&gt;0,'CHUNG TU'!A227,"")</f>
      </c>
      <c r="C236" s="213">
        <f>IF($F236+$P236&lt;&gt;0,IF('CHUNG TU'!B227&lt;&gt;"",'CHUNG TU'!B227,IF('CHUNG TU'!C227&lt;&gt;"",'CHUNG TU'!C227,'CHUNG TU'!D227)),"")</f>
      </c>
      <c r="D236" s="213">
        <f>IF($F236+$P236&lt;&gt;0,'CHUNG TU'!F227,"")</f>
      </c>
      <c r="E236" s="213">
        <f>IF($F236+$P236&lt;&gt;0,'CHUNG TU'!H227,"")</f>
      </c>
      <c r="F236" s="213">
        <f>IF(LEFT('CHUNG TU'!I227,3)='CPSXKD 642_yếu tố'!$H$7,'CHUNG TU'!$L227,0)</f>
        <v>0</v>
      </c>
      <c r="G236" s="213">
        <f>IF(G$10='CHUNG TU'!$I227,'CHUNG TU'!$L227,0)</f>
        <v>0</v>
      </c>
      <c r="H236" s="213">
        <f>IF(H$10='CHUNG TU'!$I227,'CHUNG TU'!$L227,0)</f>
        <v>0</v>
      </c>
      <c r="I236" s="213">
        <f>IF(I$10='CHUNG TU'!$I227,'CHUNG TU'!$L227,0)</f>
        <v>0</v>
      </c>
      <c r="J236" s="213">
        <f>IF(J$10='CHUNG TU'!$I227,'CHUNG TU'!$L227,0)</f>
        <v>0</v>
      </c>
      <c r="K236" s="213">
        <f>IF(K$10='CHUNG TU'!$I227,'CHUNG TU'!$L227,0)</f>
        <v>0</v>
      </c>
      <c r="L236" s="213">
        <f>IF(L$10='CHUNG TU'!$I227,'CHUNG TU'!$L227,0)</f>
        <v>0</v>
      </c>
      <c r="M236" s="213">
        <f>IF(M$10='CHUNG TU'!$I227,'CHUNG TU'!$L227,0)</f>
        <v>0</v>
      </c>
      <c r="N236" s="213">
        <f>IF(N$10='CHUNG TU'!$I227,'CHUNG TU'!$L227,0)</f>
        <v>0</v>
      </c>
      <c r="O236" s="213">
        <f>IF(F236&lt;&gt;0,'CHUNG TU'!J227,"")</f>
      </c>
      <c r="P236" s="213">
        <f>IF(LEFT('CHUNG TU'!J227,3)='CPSXKD 642_yếu tố'!$H$7,'CHUNG TU'!$L227,0)</f>
        <v>0</v>
      </c>
      <c r="Q236" s="213">
        <f>IF(P236&lt;&gt;0,'CHUNG TU'!I227,"")</f>
      </c>
    </row>
    <row r="237" spans="2:17" ht="12.75">
      <c r="B237" s="213">
        <f>IF($F237+$P237&lt;&gt;0,'CHUNG TU'!A228,"")</f>
      </c>
      <c r="C237" s="213">
        <f>IF($F237+$P237&lt;&gt;0,IF('CHUNG TU'!B228&lt;&gt;"",'CHUNG TU'!B228,IF('CHUNG TU'!C228&lt;&gt;"",'CHUNG TU'!C228,'CHUNG TU'!D228)),"")</f>
      </c>
      <c r="D237" s="213">
        <f>IF($F237+$P237&lt;&gt;0,'CHUNG TU'!F228,"")</f>
      </c>
      <c r="E237" s="213">
        <f>IF($F237+$P237&lt;&gt;0,'CHUNG TU'!H228,"")</f>
      </c>
      <c r="F237" s="213">
        <f>IF(LEFT('CHUNG TU'!I228,3)='CPSXKD 642_yếu tố'!$H$7,'CHUNG TU'!$L228,0)</f>
        <v>0</v>
      </c>
      <c r="G237" s="213">
        <f>IF(G$10='CHUNG TU'!$I228,'CHUNG TU'!$L228,0)</f>
        <v>0</v>
      </c>
      <c r="H237" s="213">
        <f>IF(H$10='CHUNG TU'!$I228,'CHUNG TU'!$L228,0)</f>
        <v>0</v>
      </c>
      <c r="I237" s="213">
        <f>IF(I$10='CHUNG TU'!$I228,'CHUNG TU'!$L228,0)</f>
        <v>0</v>
      </c>
      <c r="J237" s="213">
        <f>IF(J$10='CHUNG TU'!$I228,'CHUNG TU'!$L228,0)</f>
        <v>0</v>
      </c>
      <c r="K237" s="213">
        <f>IF(K$10='CHUNG TU'!$I228,'CHUNG TU'!$L228,0)</f>
        <v>0</v>
      </c>
      <c r="L237" s="213">
        <f>IF(L$10='CHUNG TU'!$I228,'CHUNG TU'!$L228,0)</f>
        <v>0</v>
      </c>
      <c r="M237" s="213">
        <f>IF(M$10='CHUNG TU'!$I228,'CHUNG TU'!$L228,0)</f>
        <v>0</v>
      </c>
      <c r="N237" s="213">
        <f>IF(N$10='CHUNG TU'!$I228,'CHUNG TU'!$L228,0)</f>
        <v>0</v>
      </c>
      <c r="O237" s="213">
        <f>IF(F237&lt;&gt;0,'CHUNG TU'!J228,"")</f>
      </c>
      <c r="P237" s="213">
        <f>IF(LEFT('CHUNG TU'!J228,3)='CPSXKD 642_yếu tố'!$H$7,'CHUNG TU'!$L228,0)</f>
        <v>0</v>
      </c>
      <c r="Q237" s="213">
        <f>IF(P237&lt;&gt;0,'CHUNG TU'!I228,"")</f>
      </c>
    </row>
    <row r="238" spans="2:17" ht="12.75">
      <c r="B238" s="213">
        <f>IF($F238+$P238&lt;&gt;0,'CHUNG TU'!A229,"")</f>
      </c>
      <c r="C238" s="213">
        <f>IF($F238+$P238&lt;&gt;0,IF('CHUNG TU'!B229&lt;&gt;"",'CHUNG TU'!B229,IF('CHUNG TU'!C229&lt;&gt;"",'CHUNG TU'!C229,'CHUNG TU'!D229)),"")</f>
      </c>
      <c r="D238" s="213">
        <f>IF($F238+$P238&lt;&gt;0,'CHUNG TU'!F229,"")</f>
      </c>
      <c r="E238" s="213">
        <f>IF($F238+$P238&lt;&gt;0,'CHUNG TU'!H229,"")</f>
      </c>
      <c r="F238" s="213">
        <f>IF(LEFT('CHUNG TU'!I229,3)='CPSXKD 642_yếu tố'!$H$7,'CHUNG TU'!$L229,0)</f>
        <v>0</v>
      </c>
      <c r="G238" s="213">
        <f>IF(G$10='CHUNG TU'!$I229,'CHUNG TU'!$L229,0)</f>
        <v>0</v>
      </c>
      <c r="H238" s="213">
        <f>IF(H$10='CHUNG TU'!$I229,'CHUNG TU'!$L229,0)</f>
        <v>0</v>
      </c>
      <c r="I238" s="213">
        <f>IF(I$10='CHUNG TU'!$I229,'CHUNG TU'!$L229,0)</f>
        <v>0</v>
      </c>
      <c r="J238" s="213">
        <f>IF(J$10='CHUNG TU'!$I229,'CHUNG TU'!$L229,0)</f>
        <v>0</v>
      </c>
      <c r="K238" s="213">
        <f>IF(K$10='CHUNG TU'!$I229,'CHUNG TU'!$L229,0)</f>
        <v>0</v>
      </c>
      <c r="L238" s="213">
        <f>IF(L$10='CHUNG TU'!$I229,'CHUNG TU'!$L229,0)</f>
        <v>0</v>
      </c>
      <c r="M238" s="213">
        <f>IF(M$10='CHUNG TU'!$I229,'CHUNG TU'!$L229,0)</f>
        <v>0</v>
      </c>
      <c r="N238" s="213">
        <f>IF(N$10='CHUNG TU'!$I229,'CHUNG TU'!$L229,0)</f>
        <v>0</v>
      </c>
      <c r="O238" s="213">
        <f>IF(F238&lt;&gt;0,'CHUNG TU'!J229,"")</f>
      </c>
      <c r="P238" s="213">
        <f>IF(LEFT('CHUNG TU'!J229,3)='CPSXKD 642_yếu tố'!$H$7,'CHUNG TU'!$L229,0)</f>
        <v>0</v>
      </c>
      <c r="Q238" s="213">
        <f>IF(P238&lt;&gt;0,'CHUNG TU'!I229,"")</f>
      </c>
    </row>
    <row r="239" spans="2:17" ht="12.75">
      <c r="B239" s="213">
        <f>IF($F239+$P239&lt;&gt;0,'CHUNG TU'!A230,"")</f>
      </c>
      <c r="C239" s="213">
        <f>IF($F239+$P239&lt;&gt;0,IF('CHUNG TU'!B230&lt;&gt;"",'CHUNG TU'!B230,IF('CHUNG TU'!C230&lt;&gt;"",'CHUNG TU'!C230,'CHUNG TU'!D230)),"")</f>
      </c>
      <c r="D239" s="213">
        <f>IF($F239+$P239&lt;&gt;0,'CHUNG TU'!F230,"")</f>
      </c>
      <c r="E239" s="213">
        <f>IF($F239+$P239&lt;&gt;0,'CHUNG TU'!H230,"")</f>
      </c>
      <c r="F239" s="213">
        <f>IF(LEFT('CHUNG TU'!I230,3)='CPSXKD 642_yếu tố'!$H$7,'CHUNG TU'!$L230,0)</f>
        <v>0</v>
      </c>
      <c r="G239" s="213">
        <f>IF(G$10='CHUNG TU'!$I230,'CHUNG TU'!$L230,0)</f>
        <v>0</v>
      </c>
      <c r="H239" s="213">
        <f>IF(H$10='CHUNG TU'!$I230,'CHUNG TU'!$L230,0)</f>
        <v>0</v>
      </c>
      <c r="I239" s="213">
        <f>IF(I$10='CHUNG TU'!$I230,'CHUNG TU'!$L230,0)</f>
        <v>0</v>
      </c>
      <c r="J239" s="213">
        <f>IF(J$10='CHUNG TU'!$I230,'CHUNG TU'!$L230,0)</f>
        <v>0</v>
      </c>
      <c r="K239" s="213">
        <f>IF(K$10='CHUNG TU'!$I230,'CHUNG TU'!$L230,0)</f>
        <v>0</v>
      </c>
      <c r="L239" s="213">
        <f>IF(L$10='CHUNG TU'!$I230,'CHUNG TU'!$L230,0)</f>
        <v>0</v>
      </c>
      <c r="M239" s="213">
        <f>IF(M$10='CHUNG TU'!$I230,'CHUNG TU'!$L230,0)</f>
        <v>0</v>
      </c>
      <c r="N239" s="213">
        <f>IF(N$10='CHUNG TU'!$I230,'CHUNG TU'!$L230,0)</f>
        <v>0</v>
      </c>
      <c r="O239" s="213">
        <f>IF(F239&lt;&gt;0,'CHUNG TU'!J230,"")</f>
      </c>
      <c r="P239" s="213">
        <f>IF(LEFT('CHUNG TU'!J230,3)='CPSXKD 642_yếu tố'!$H$7,'CHUNG TU'!$L230,0)</f>
        <v>0</v>
      </c>
      <c r="Q239" s="213">
        <f>IF(P239&lt;&gt;0,'CHUNG TU'!I230,"")</f>
      </c>
    </row>
    <row r="240" spans="2:17" ht="12.75">
      <c r="B240" s="213">
        <f>IF($F240+$P240&lt;&gt;0,'CHUNG TU'!A231,"")</f>
      </c>
      <c r="C240" s="213">
        <f>IF($F240+$P240&lt;&gt;0,IF('CHUNG TU'!B231&lt;&gt;"",'CHUNG TU'!B231,IF('CHUNG TU'!C231&lt;&gt;"",'CHUNG TU'!C231,'CHUNG TU'!D231)),"")</f>
      </c>
      <c r="D240" s="213">
        <f>IF($F240+$P240&lt;&gt;0,'CHUNG TU'!F231,"")</f>
      </c>
      <c r="E240" s="213">
        <f>IF($F240+$P240&lt;&gt;0,'CHUNG TU'!H231,"")</f>
      </c>
      <c r="F240" s="213">
        <f>IF(LEFT('CHUNG TU'!I231,3)='CPSXKD 642_yếu tố'!$H$7,'CHUNG TU'!$L231,0)</f>
        <v>0</v>
      </c>
      <c r="G240" s="213">
        <f>IF(G$10='CHUNG TU'!$I231,'CHUNG TU'!$L231,0)</f>
        <v>0</v>
      </c>
      <c r="H240" s="213">
        <f>IF(H$10='CHUNG TU'!$I231,'CHUNG TU'!$L231,0)</f>
        <v>0</v>
      </c>
      <c r="I240" s="213">
        <f>IF(I$10='CHUNG TU'!$I231,'CHUNG TU'!$L231,0)</f>
        <v>0</v>
      </c>
      <c r="J240" s="213">
        <f>IF(J$10='CHUNG TU'!$I231,'CHUNG TU'!$L231,0)</f>
        <v>0</v>
      </c>
      <c r="K240" s="213">
        <f>IF(K$10='CHUNG TU'!$I231,'CHUNG TU'!$L231,0)</f>
        <v>0</v>
      </c>
      <c r="L240" s="213">
        <f>IF(L$10='CHUNG TU'!$I231,'CHUNG TU'!$L231,0)</f>
        <v>0</v>
      </c>
      <c r="M240" s="213">
        <f>IF(M$10='CHUNG TU'!$I231,'CHUNG TU'!$L231,0)</f>
        <v>0</v>
      </c>
      <c r="N240" s="213">
        <f>IF(N$10='CHUNG TU'!$I231,'CHUNG TU'!$L231,0)</f>
        <v>0</v>
      </c>
      <c r="O240" s="213">
        <f>IF(F240&lt;&gt;0,'CHUNG TU'!J231,"")</f>
      </c>
      <c r="P240" s="213">
        <f>IF(LEFT('CHUNG TU'!J231,3)='CPSXKD 642_yếu tố'!$H$7,'CHUNG TU'!$L231,0)</f>
        <v>0</v>
      </c>
      <c r="Q240" s="213">
        <f>IF(P240&lt;&gt;0,'CHUNG TU'!I231,"")</f>
      </c>
    </row>
    <row r="241" spans="2:17" ht="12.75">
      <c r="B241" s="213">
        <f>IF($F241+$P241&lt;&gt;0,'CHUNG TU'!A232,"")</f>
      </c>
      <c r="C241" s="213">
        <f>IF($F241+$P241&lt;&gt;0,IF('CHUNG TU'!B232&lt;&gt;"",'CHUNG TU'!B232,IF('CHUNG TU'!C232&lt;&gt;"",'CHUNG TU'!C232,'CHUNG TU'!D232)),"")</f>
      </c>
      <c r="D241" s="213">
        <f>IF($F241+$P241&lt;&gt;0,'CHUNG TU'!F232,"")</f>
      </c>
      <c r="E241" s="213">
        <f>IF($F241+$P241&lt;&gt;0,'CHUNG TU'!H232,"")</f>
      </c>
      <c r="F241" s="213">
        <f>IF(LEFT('CHUNG TU'!I232,3)='CPSXKD 642_yếu tố'!$H$7,'CHUNG TU'!$L232,0)</f>
        <v>0</v>
      </c>
      <c r="G241" s="213">
        <f>IF(G$10='CHUNG TU'!$I232,'CHUNG TU'!$L232,0)</f>
        <v>0</v>
      </c>
      <c r="H241" s="213">
        <f>IF(H$10='CHUNG TU'!$I232,'CHUNG TU'!$L232,0)</f>
        <v>0</v>
      </c>
      <c r="I241" s="213">
        <f>IF(I$10='CHUNG TU'!$I232,'CHUNG TU'!$L232,0)</f>
        <v>0</v>
      </c>
      <c r="J241" s="213">
        <f>IF(J$10='CHUNG TU'!$I232,'CHUNG TU'!$L232,0)</f>
        <v>0</v>
      </c>
      <c r="K241" s="213">
        <f>IF(K$10='CHUNG TU'!$I232,'CHUNG TU'!$L232,0)</f>
        <v>0</v>
      </c>
      <c r="L241" s="213">
        <f>IF(L$10='CHUNG TU'!$I232,'CHUNG TU'!$L232,0)</f>
        <v>0</v>
      </c>
      <c r="M241" s="213">
        <f>IF(M$10='CHUNG TU'!$I232,'CHUNG TU'!$L232,0)</f>
        <v>0</v>
      </c>
      <c r="N241" s="213">
        <f>IF(N$10='CHUNG TU'!$I232,'CHUNG TU'!$L232,0)</f>
        <v>0</v>
      </c>
      <c r="O241" s="213">
        <f>IF(F241&lt;&gt;0,'CHUNG TU'!J232,"")</f>
      </c>
      <c r="P241" s="213">
        <f>IF(LEFT('CHUNG TU'!J232,3)='CPSXKD 642_yếu tố'!$H$7,'CHUNG TU'!$L232,0)</f>
        <v>0</v>
      </c>
      <c r="Q241" s="213">
        <f>IF(P241&lt;&gt;0,'CHUNG TU'!I232,"")</f>
      </c>
    </row>
    <row r="242" spans="2:17" ht="12.75">
      <c r="B242" s="213">
        <f>IF($F242+$P242&lt;&gt;0,'CHUNG TU'!A233,"")</f>
      </c>
      <c r="C242" s="213">
        <f>IF($F242+$P242&lt;&gt;0,IF('CHUNG TU'!B233&lt;&gt;"",'CHUNG TU'!B233,IF('CHUNG TU'!C233&lt;&gt;"",'CHUNG TU'!C233,'CHUNG TU'!D233)),"")</f>
      </c>
      <c r="D242" s="213">
        <f>IF($F242+$P242&lt;&gt;0,'CHUNG TU'!F233,"")</f>
      </c>
      <c r="E242" s="213">
        <f>IF($F242+$P242&lt;&gt;0,'CHUNG TU'!H233,"")</f>
      </c>
      <c r="F242" s="213">
        <f>IF(LEFT('CHUNG TU'!I233,3)='CPSXKD 642_yếu tố'!$H$7,'CHUNG TU'!$L233,0)</f>
        <v>0</v>
      </c>
      <c r="G242" s="213">
        <f>IF(G$10='CHUNG TU'!$I233,'CHUNG TU'!$L233,0)</f>
        <v>0</v>
      </c>
      <c r="H242" s="213">
        <f>IF(H$10='CHUNG TU'!$I233,'CHUNG TU'!$L233,0)</f>
        <v>0</v>
      </c>
      <c r="I242" s="213">
        <f>IF(I$10='CHUNG TU'!$I233,'CHUNG TU'!$L233,0)</f>
        <v>0</v>
      </c>
      <c r="J242" s="213">
        <f>IF(J$10='CHUNG TU'!$I233,'CHUNG TU'!$L233,0)</f>
        <v>0</v>
      </c>
      <c r="K242" s="213">
        <f>IF(K$10='CHUNG TU'!$I233,'CHUNG TU'!$L233,0)</f>
        <v>0</v>
      </c>
      <c r="L242" s="213">
        <f>IF(L$10='CHUNG TU'!$I233,'CHUNG TU'!$L233,0)</f>
        <v>0</v>
      </c>
      <c r="M242" s="213">
        <f>IF(M$10='CHUNG TU'!$I233,'CHUNG TU'!$L233,0)</f>
        <v>0</v>
      </c>
      <c r="N242" s="213">
        <f>IF(N$10='CHUNG TU'!$I233,'CHUNG TU'!$L233,0)</f>
        <v>0</v>
      </c>
      <c r="O242" s="213">
        <f>IF(F242&lt;&gt;0,'CHUNG TU'!J233,"")</f>
      </c>
      <c r="P242" s="213">
        <f>IF(LEFT('CHUNG TU'!J233,3)='CPSXKD 642_yếu tố'!$H$7,'CHUNG TU'!$L233,0)</f>
        <v>0</v>
      </c>
      <c r="Q242" s="213">
        <f>IF(P242&lt;&gt;0,'CHUNG TU'!I233,"")</f>
      </c>
    </row>
    <row r="243" spans="2:17" ht="12.75">
      <c r="B243" s="213">
        <f>IF($F243+$P243&lt;&gt;0,'CHUNG TU'!A234,"")</f>
      </c>
      <c r="C243" s="213">
        <f>IF($F243+$P243&lt;&gt;0,IF('CHUNG TU'!B234&lt;&gt;"",'CHUNG TU'!B234,IF('CHUNG TU'!C234&lt;&gt;"",'CHUNG TU'!C234,'CHUNG TU'!D234)),"")</f>
      </c>
      <c r="D243" s="213">
        <f>IF($F243+$P243&lt;&gt;0,'CHUNG TU'!F234,"")</f>
      </c>
      <c r="E243" s="213">
        <f>IF($F243+$P243&lt;&gt;0,'CHUNG TU'!H234,"")</f>
      </c>
      <c r="F243" s="213">
        <f>IF(LEFT('CHUNG TU'!I234,3)='CPSXKD 642_yếu tố'!$H$7,'CHUNG TU'!$L234,0)</f>
        <v>0</v>
      </c>
      <c r="G243" s="213">
        <f>IF(G$10='CHUNG TU'!$I234,'CHUNG TU'!$L234,0)</f>
        <v>0</v>
      </c>
      <c r="H243" s="213">
        <f>IF(H$10='CHUNG TU'!$I234,'CHUNG TU'!$L234,0)</f>
        <v>0</v>
      </c>
      <c r="I243" s="213">
        <f>IF(I$10='CHUNG TU'!$I234,'CHUNG TU'!$L234,0)</f>
        <v>0</v>
      </c>
      <c r="J243" s="213">
        <f>IF(J$10='CHUNG TU'!$I234,'CHUNG TU'!$L234,0)</f>
        <v>0</v>
      </c>
      <c r="K243" s="213">
        <f>IF(K$10='CHUNG TU'!$I234,'CHUNG TU'!$L234,0)</f>
        <v>0</v>
      </c>
      <c r="L243" s="213">
        <f>IF(L$10='CHUNG TU'!$I234,'CHUNG TU'!$L234,0)</f>
        <v>0</v>
      </c>
      <c r="M243" s="213">
        <f>IF(M$10='CHUNG TU'!$I234,'CHUNG TU'!$L234,0)</f>
        <v>0</v>
      </c>
      <c r="N243" s="213">
        <f>IF(N$10='CHUNG TU'!$I234,'CHUNG TU'!$L234,0)</f>
        <v>0</v>
      </c>
      <c r="O243" s="213">
        <f>IF(F243&lt;&gt;0,'CHUNG TU'!J234,"")</f>
      </c>
      <c r="P243" s="213">
        <f>IF(LEFT('CHUNG TU'!J234,3)='CPSXKD 642_yếu tố'!$H$7,'CHUNG TU'!$L234,0)</f>
        <v>0</v>
      </c>
      <c r="Q243" s="213">
        <f>IF(P243&lt;&gt;0,'CHUNG TU'!I234,"")</f>
      </c>
    </row>
    <row r="244" spans="2:17" ht="12.75">
      <c r="B244" s="213">
        <f>IF($F244+$P244&lt;&gt;0,'CHUNG TU'!A235,"")</f>
      </c>
      <c r="C244" s="213">
        <f>IF($F244+$P244&lt;&gt;0,IF('CHUNG TU'!B235&lt;&gt;"",'CHUNG TU'!B235,IF('CHUNG TU'!C235&lt;&gt;"",'CHUNG TU'!C235,'CHUNG TU'!D235)),"")</f>
      </c>
      <c r="D244" s="213">
        <f>IF($F244+$P244&lt;&gt;0,'CHUNG TU'!F235,"")</f>
      </c>
      <c r="E244" s="213">
        <f>IF($F244+$P244&lt;&gt;0,'CHUNG TU'!H235,"")</f>
      </c>
      <c r="F244" s="213">
        <f>IF(LEFT('CHUNG TU'!I235,3)='CPSXKD 642_yếu tố'!$H$7,'CHUNG TU'!$L235,0)</f>
        <v>0</v>
      </c>
      <c r="G244" s="213">
        <f>IF(G$10='CHUNG TU'!$I235,'CHUNG TU'!$L235,0)</f>
        <v>0</v>
      </c>
      <c r="H244" s="213">
        <f>IF(H$10='CHUNG TU'!$I235,'CHUNG TU'!$L235,0)</f>
        <v>0</v>
      </c>
      <c r="I244" s="213">
        <f>IF(I$10='CHUNG TU'!$I235,'CHUNG TU'!$L235,0)</f>
        <v>0</v>
      </c>
      <c r="J244" s="213">
        <f>IF(J$10='CHUNG TU'!$I235,'CHUNG TU'!$L235,0)</f>
        <v>0</v>
      </c>
      <c r="K244" s="213">
        <f>IF(K$10='CHUNG TU'!$I235,'CHUNG TU'!$L235,0)</f>
        <v>0</v>
      </c>
      <c r="L244" s="213">
        <f>IF(L$10='CHUNG TU'!$I235,'CHUNG TU'!$L235,0)</f>
        <v>0</v>
      </c>
      <c r="M244" s="213">
        <f>IF(M$10='CHUNG TU'!$I235,'CHUNG TU'!$L235,0)</f>
        <v>0</v>
      </c>
      <c r="N244" s="213">
        <f>IF(N$10='CHUNG TU'!$I235,'CHUNG TU'!$L235,0)</f>
        <v>0</v>
      </c>
      <c r="O244" s="213">
        <f>IF(F244&lt;&gt;0,'CHUNG TU'!J235,"")</f>
      </c>
      <c r="P244" s="213">
        <f>IF(LEFT('CHUNG TU'!J235,3)='CPSXKD 642_yếu tố'!$H$7,'CHUNG TU'!$L235,0)</f>
        <v>0</v>
      </c>
      <c r="Q244" s="213">
        <f>IF(P244&lt;&gt;0,'CHUNG TU'!I235,"")</f>
      </c>
    </row>
    <row r="245" spans="2:17" ht="12.75">
      <c r="B245" s="213">
        <f>IF($F245+$P245&lt;&gt;0,'CHUNG TU'!A236,"")</f>
      </c>
      <c r="C245" s="213">
        <f>IF($F245+$P245&lt;&gt;0,IF('CHUNG TU'!B236&lt;&gt;"",'CHUNG TU'!B236,IF('CHUNG TU'!C236&lt;&gt;"",'CHUNG TU'!C236,'CHUNG TU'!D236)),"")</f>
      </c>
      <c r="D245" s="213">
        <f>IF($F245+$P245&lt;&gt;0,'CHUNG TU'!F236,"")</f>
      </c>
      <c r="E245" s="213">
        <f>IF($F245+$P245&lt;&gt;0,'CHUNG TU'!H236,"")</f>
      </c>
      <c r="F245" s="213">
        <f>IF(LEFT('CHUNG TU'!I236,3)='CPSXKD 642_yếu tố'!$H$7,'CHUNG TU'!$L236,0)</f>
        <v>0</v>
      </c>
      <c r="G245" s="213">
        <f>IF(G$10='CHUNG TU'!$I236,'CHUNG TU'!$L236,0)</f>
        <v>0</v>
      </c>
      <c r="H245" s="213">
        <f>IF(H$10='CHUNG TU'!$I236,'CHUNG TU'!$L236,0)</f>
        <v>0</v>
      </c>
      <c r="I245" s="213">
        <f>IF(I$10='CHUNG TU'!$I236,'CHUNG TU'!$L236,0)</f>
        <v>0</v>
      </c>
      <c r="J245" s="213">
        <f>IF(J$10='CHUNG TU'!$I236,'CHUNG TU'!$L236,0)</f>
        <v>0</v>
      </c>
      <c r="K245" s="213">
        <f>IF(K$10='CHUNG TU'!$I236,'CHUNG TU'!$L236,0)</f>
        <v>0</v>
      </c>
      <c r="L245" s="213">
        <f>IF(L$10='CHUNG TU'!$I236,'CHUNG TU'!$L236,0)</f>
        <v>0</v>
      </c>
      <c r="M245" s="213">
        <f>IF(M$10='CHUNG TU'!$I236,'CHUNG TU'!$L236,0)</f>
        <v>0</v>
      </c>
      <c r="N245" s="213">
        <f>IF(N$10='CHUNG TU'!$I236,'CHUNG TU'!$L236,0)</f>
        <v>0</v>
      </c>
      <c r="O245" s="213">
        <f>IF(F245&lt;&gt;0,'CHUNG TU'!J236,"")</f>
      </c>
      <c r="P245" s="213">
        <f>IF(LEFT('CHUNG TU'!J236,3)='CPSXKD 642_yếu tố'!$H$7,'CHUNG TU'!$L236,0)</f>
        <v>0</v>
      </c>
      <c r="Q245" s="213">
        <f>IF(P245&lt;&gt;0,'CHUNG TU'!I236,"")</f>
      </c>
    </row>
    <row r="246" spans="2:17" ht="12.75">
      <c r="B246" s="213">
        <f>IF($F246+$P246&lt;&gt;0,'CHUNG TU'!A237,"")</f>
      </c>
      <c r="C246" s="213">
        <f>IF($F246+$P246&lt;&gt;0,IF('CHUNG TU'!B237&lt;&gt;"",'CHUNG TU'!B237,IF('CHUNG TU'!C237&lt;&gt;"",'CHUNG TU'!C237,'CHUNG TU'!D237)),"")</f>
      </c>
      <c r="D246" s="213">
        <f>IF($F246+$P246&lt;&gt;0,'CHUNG TU'!F237,"")</f>
      </c>
      <c r="E246" s="213">
        <f>IF($F246+$P246&lt;&gt;0,'CHUNG TU'!H237,"")</f>
      </c>
      <c r="F246" s="213">
        <f>IF(LEFT('CHUNG TU'!I237,3)='CPSXKD 642_yếu tố'!$H$7,'CHUNG TU'!$L237,0)</f>
        <v>0</v>
      </c>
      <c r="G246" s="213">
        <f>IF(G$10='CHUNG TU'!$I237,'CHUNG TU'!$L237,0)</f>
        <v>0</v>
      </c>
      <c r="H246" s="213">
        <f>IF(H$10='CHUNG TU'!$I237,'CHUNG TU'!$L237,0)</f>
        <v>0</v>
      </c>
      <c r="I246" s="213">
        <f>IF(I$10='CHUNG TU'!$I237,'CHUNG TU'!$L237,0)</f>
        <v>0</v>
      </c>
      <c r="J246" s="213">
        <f>IF(J$10='CHUNG TU'!$I237,'CHUNG TU'!$L237,0)</f>
        <v>0</v>
      </c>
      <c r="K246" s="213">
        <f>IF(K$10='CHUNG TU'!$I237,'CHUNG TU'!$L237,0)</f>
        <v>0</v>
      </c>
      <c r="L246" s="213">
        <f>IF(L$10='CHUNG TU'!$I237,'CHUNG TU'!$L237,0)</f>
        <v>0</v>
      </c>
      <c r="M246" s="213">
        <f>IF(M$10='CHUNG TU'!$I237,'CHUNG TU'!$L237,0)</f>
        <v>0</v>
      </c>
      <c r="N246" s="213">
        <f>IF(N$10='CHUNG TU'!$I237,'CHUNG TU'!$L237,0)</f>
        <v>0</v>
      </c>
      <c r="O246" s="213">
        <f>IF(F246&lt;&gt;0,'CHUNG TU'!J237,"")</f>
      </c>
      <c r="P246" s="213">
        <f>IF(LEFT('CHUNG TU'!J237,3)='CPSXKD 642_yếu tố'!$H$7,'CHUNG TU'!$L237,0)</f>
        <v>0</v>
      </c>
      <c r="Q246" s="213">
        <f>IF(P246&lt;&gt;0,'CHUNG TU'!I237,"")</f>
      </c>
    </row>
    <row r="247" spans="2:17" ht="12.75">
      <c r="B247" s="213">
        <f>IF($F247+$P247&lt;&gt;0,'CHUNG TU'!A238,"")</f>
      </c>
      <c r="C247" s="213">
        <f>IF($F247+$P247&lt;&gt;0,IF('CHUNG TU'!B238&lt;&gt;"",'CHUNG TU'!B238,IF('CHUNG TU'!C238&lt;&gt;"",'CHUNG TU'!C238,'CHUNG TU'!D238)),"")</f>
      </c>
      <c r="D247" s="213">
        <f>IF($F247+$P247&lt;&gt;0,'CHUNG TU'!F238,"")</f>
      </c>
      <c r="E247" s="213">
        <f>IF($F247+$P247&lt;&gt;0,'CHUNG TU'!H238,"")</f>
      </c>
      <c r="F247" s="213">
        <f>IF(LEFT('CHUNG TU'!I238,3)='CPSXKD 642_yếu tố'!$H$7,'CHUNG TU'!$L238,0)</f>
        <v>0</v>
      </c>
      <c r="G247" s="213">
        <f>IF(G$10='CHUNG TU'!$I238,'CHUNG TU'!$L238,0)</f>
        <v>0</v>
      </c>
      <c r="H247" s="213">
        <f>IF(H$10='CHUNG TU'!$I238,'CHUNG TU'!$L238,0)</f>
        <v>0</v>
      </c>
      <c r="I247" s="213">
        <f>IF(I$10='CHUNG TU'!$I238,'CHUNG TU'!$L238,0)</f>
        <v>0</v>
      </c>
      <c r="J247" s="213">
        <f>IF(J$10='CHUNG TU'!$I238,'CHUNG TU'!$L238,0)</f>
        <v>0</v>
      </c>
      <c r="K247" s="213">
        <f>IF(K$10='CHUNG TU'!$I238,'CHUNG TU'!$L238,0)</f>
        <v>0</v>
      </c>
      <c r="L247" s="213">
        <f>IF(L$10='CHUNG TU'!$I238,'CHUNG TU'!$L238,0)</f>
        <v>0</v>
      </c>
      <c r="M247" s="213">
        <f>IF(M$10='CHUNG TU'!$I238,'CHUNG TU'!$L238,0)</f>
        <v>0</v>
      </c>
      <c r="N247" s="213">
        <f>IF(N$10='CHUNG TU'!$I238,'CHUNG TU'!$L238,0)</f>
        <v>0</v>
      </c>
      <c r="O247" s="213">
        <f>IF(F247&lt;&gt;0,'CHUNG TU'!J238,"")</f>
      </c>
      <c r="P247" s="213">
        <f>IF(LEFT('CHUNG TU'!J238,3)='CPSXKD 642_yếu tố'!$H$7,'CHUNG TU'!$L238,0)</f>
        <v>0</v>
      </c>
      <c r="Q247" s="213">
        <f>IF(P247&lt;&gt;0,'CHUNG TU'!I238,"")</f>
      </c>
    </row>
    <row r="248" spans="2:17" ht="12.75">
      <c r="B248" s="213">
        <f>IF($F248+$P248&lt;&gt;0,'CHUNG TU'!A239,"")</f>
      </c>
      <c r="C248" s="213">
        <f>IF($F248+$P248&lt;&gt;0,IF('CHUNG TU'!B239&lt;&gt;"",'CHUNG TU'!B239,IF('CHUNG TU'!C239&lt;&gt;"",'CHUNG TU'!C239,'CHUNG TU'!D239)),"")</f>
      </c>
      <c r="D248" s="213">
        <f>IF($F248+$P248&lt;&gt;0,'CHUNG TU'!F239,"")</f>
      </c>
      <c r="E248" s="213">
        <f>IF($F248+$P248&lt;&gt;0,'CHUNG TU'!H239,"")</f>
      </c>
      <c r="F248" s="213">
        <f>IF(LEFT('CHUNG TU'!I239,3)='CPSXKD 642_yếu tố'!$H$7,'CHUNG TU'!$L239,0)</f>
        <v>0</v>
      </c>
      <c r="G248" s="213">
        <f>IF(G$10='CHUNG TU'!$I239,'CHUNG TU'!$L239,0)</f>
        <v>0</v>
      </c>
      <c r="H248" s="213">
        <f>IF(H$10='CHUNG TU'!$I239,'CHUNG TU'!$L239,0)</f>
        <v>0</v>
      </c>
      <c r="I248" s="213">
        <f>IF(I$10='CHUNG TU'!$I239,'CHUNG TU'!$L239,0)</f>
        <v>0</v>
      </c>
      <c r="J248" s="213">
        <f>IF(J$10='CHUNG TU'!$I239,'CHUNG TU'!$L239,0)</f>
        <v>0</v>
      </c>
      <c r="K248" s="213">
        <f>IF(K$10='CHUNG TU'!$I239,'CHUNG TU'!$L239,0)</f>
        <v>0</v>
      </c>
      <c r="L248" s="213">
        <f>IF(L$10='CHUNG TU'!$I239,'CHUNG TU'!$L239,0)</f>
        <v>0</v>
      </c>
      <c r="M248" s="213">
        <f>IF(M$10='CHUNG TU'!$I239,'CHUNG TU'!$L239,0)</f>
        <v>0</v>
      </c>
      <c r="N248" s="213">
        <f>IF(N$10='CHUNG TU'!$I239,'CHUNG TU'!$L239,0)</f>
        <v>0</v>
      </c>
      <c r="O248" s="213">
        <f>IF(F248&lt;&gt;0,'CHUNG TU'!J239,"")</f>
      </c>
      <c r="P248" s="213">
        <f>IF(LEFT('CHUNG TU'!J239,3)='CPSXKD 642_yếu tố'!$H$7,'CHUNG TU'!$L239,0)</f>
        <v>0</v>
      </c>
      <c r="Q248" s="213">
        <f>IF(P248&lt;&gt;0,'CHUNG TU'!I239,"")</f>
      </c>
    </row>
    <row r="249" spans="2:17" ht="12.75">
      <c r="B249" s="213">
        <f>IF($F249+$P249&lt;&gt;0,'CHUNG TU'!A240,"")</f>
      </c>
      <c r="C249" s="213">
        <f>IF($F249+$P249&lt;&gt;0,IF('CHUNG TU'!B240&lt;&gt;"",'CHUNG TU'!B240,IF('CHUNG TU'!C240&lt;&gt;"",'CHUNG TU'!C240,'CHUNG TU'!D240)),"")</f>
      </c>
      <c r="D249" s="213">
        <f>IF($F249+$P249&lt;&gt;0,'CHUNG TU'!F240,"")</f>
      </c>
      <c r="E249" s="213">
        <f>IF($F249+$P249&lt;&gt;0,'CHUNG TU'!H240,"")</f>
      </c>
      <c r="F249" s="213">
        <f>IF(LEFT('CHUNG TU'!I240,3)='CPSXKD 642_yếu tố'!$H$7,'CHUNG TU'!$L240,0)</f>
        <v>0</v>
      </c>
      <c r="G249" s="213">
        <f>IF(G$10='CHUNG TU'!$I240,'CHUNG TU'!$L240,0)</f>
        <v>0</v>
      </c>
      <c r="H249" s="213">
        <f>IF(H$10='CHUNG TU'!$I240,'CHUNG TU'!$L240,0)</f>
        <v>0</v>
      </c>
      <c r="I249" s="213">
        <f>IF(I$10='CHUNG TU'!$I240,'CHUNG TU'!$L240,0)</f>
        <v>0</v>
      </c>
      <c r="J249" s="213">
        <f>IF(J$10='CHUNG TU'!$I240,'CHUNG TU'!$L240,0)</f>
        <v>0</v>
      </c>
      <c r="K249" s="213">
        <f>IF(K$10='CHUNG TU'!$I240,'CHUNG TU'!$L240,0)</f>
        <v>0</v>
      </c>
      <c r="L249" s="213">
        <f>IF(L$10='CHUNG TU'!$I240,'CHUNG TU'!$L240,0)</f>
        <v>0</v>
      </c>
      <c r="M249" s="213">
        <f>IF(M$10='CHUNG TU'!$I240,'CHUNG TU'!$L240,0)</f>
        <v>0</v>
      </c>
      <c r="N249" s="213">
        <f>IF(N$10='CHUNG TU'!$I240,'CHUNG TU'!$L240,0)</f>
        <v>0</v>
      </c>
      <c r="O249" s="213">
        <f>IF(F249&lt;&gt;0,'CHUNG TU'!J240,"")</f>
      </c>
      <c r="P249" s="213">
        <f>IF(LEFT('CHUNG TU'!J240,3)='CPSXKD 642_yếu tố'!$H$7,'CHUNG TU'!$L240,0)</f>
        <v>0</v>
      </c>
      <c r="Q249" s="213">
        <f>IF(P249&lt;&gt;0,'CHUNG TU'!I240,"")</f>
      </c>
    </row>
    <row r="250" spans="2:17" ht="12.75">
      <c r="B250" s="213" t="str">
        <f>IF($F250+$P250&lt;&gt;0,'CHUNG TU'!A241,"")</f>
        <v>30/10/2020</v>
      </c>
      <c r="C250" s="213" t="str">
        <f>IF($F250+$P250&lt;&gt;0,IF('CHUNG TU'!B241&lt;&gt;"",'CHUNG TU'!B241,IF('CHUNG TU'!C241&lt;&gt;"",'CHUNG TU'!C241,'CHUNG TU'!D241)),"")</f>
        <v>PKT10/089</v>
      </c>
      <c r="D250" s="213" t="str">
        <f>IF($F250+$P250&lt;&gt;0,'CHUNG TU'!F241,"")</f>
        <v>30/10/2020</v>
      </c>
      <c r="E250" s="213" t="str">
        <f>IF($F250+$P250&lt;&gt;0,'CHUNG TU'!H241,"")</f>
        <v>Tiền lương phải trả cho CBCNV trong kỳ</v>
      </c>
      <c r="F250" s="213">
        <f>IF(LEFT('CHUNG TU'!I241,3)='CPSXKD 642_yếu tố'!$H$7,'CHUNG TU'!$L241,0)</f>
        <v>92193888.8888889</v>
      </c>
      <c r="G250" s="213">
        <f>IF(G$10='CHUNG TU'!$I241,'CHUNG TU'!$L241,0)</f>
        <v>92193888.8888889</v>
      </c>
      <c r="H250" s="213">
        <f>IF(H$10='CHUNG TU'!$I241,'CHUNG TU'!$L241,0)</f>
        <v>0</v>
      </c>
      <c r="I250" s="213">
        <f>IF(I$10='CHUNG TU'!$I241,'CHUNG TU'!$L241,0)</f>
        <v>0</v>
      </c>
      <c r="J250" s="213">
        <f>IF(J$10='CHUNG TU'!$I241,'CHUNG TU'!$L241,0)</f>
        <v>0</v>
      </c>
      <c r="K250" s="213">
        <f>IF(K$10='CHUNG TU'!$I241,'CHUNG TU'!$L241,0)</f>
        <v>0</v>
      </c>
      <c r="L250" s="213">
        <f>IF(L$10='CHUNG TU'!$I241,'CHUNG TU'!$L241,0)</f>
        <v>0</v>
      </c>
      <c r="M250" s="213">
        <f>IF(M$10='CHUNG TU'!$I241,'CHUNG TU'!$L241,0)</f>
        <v>0</v>
      </c>
      <c r="N250" s="213">
        <f>IF(N$10='CHUNG TU'!$I241,'CHUNG TU'!$L241,0)</f>
        <v>0</v>
      </c>
      <c r="O250" s="213" t="str">
        <f>IF(F250&lt;&gt;0,'CHUNG TU'!J241,"")</f>
        <v>3341</v>
      </c>
      <c r="P250" s="213">
        <f>IF(LEFT('CHUNG TU'!J241,3)='CPSXKD 642_yếu tố'!$H$7,'CHUNG TU'!$L241,0)</f>
        <v>0</v>
      </c>
      <c r="Q250" s="213">
        <f>IF(P250&lt;&gt;0,'CHUNG TU'!I241,"")</f>
      </c>
    </row>
    <row r="251" spans="2:17" ht="12.75">
      <c r="B251" s="213">
        <f>IF($F251+$P251&lt;&gt;0,'CHUNG TU'!A242,"")</f>
      </c>
      <c r="C251" s="213">
        <f>IF($F251+$P251&lt;&gt;0,IF('CHUNG TU'!B242&lt;&gt;"",'CHUNG TU'!B242,IF('CHUNG TU'!C242&lt;&gt;"",'CHUNG TU'!C242,'CHUNG TU'!D242)),"")</f>
      </c>
      <c r="D251" s="213">
        <f>IF($F251+$P251&lt;&gt;0,'CHUNG TU'!F242,"")</f>
      </c>
      <c r="E251" s="213">
        <f>IF($F251+$P251&lt;&gt;0,'CHUNG TU'!H242,"")</f>
      </c>
      <c r="F251" s="213">
        <f>IF(LEFT('CHUNG TU'!I242,3)='CPSXKD 642_yếu tố'!$H$7,'CHUNG TU'!$L242,0)</f>
        <v>0</v>
      </c>
      <c r="G251" s="213">
        <f>IF(G$10='CHUNG TU'!$I242,'CHUNG TU'!$L242,0)</f>
        <v>0</v>
      </c>
      <c r="H251" s="213">
        <f>IF(H$10='CHUNG TU'!$I242,'CHUNG TU'!$L242,0)</f>
        <v>0</v>
      </c>
      <c r="I251" s="213">
        <f>IF(I$10='CHUNG TU'!$I242,'CHUNG TU'!$L242,0)</f>
        <v>0</v>
      </c>
      <c r="J251" s="213">
        <f>IF(J$10='CHUNG TU'!$I242,'CHUNG TU'!$L242,0)</f>
        <v>0</v>
      </c>
      <c r="K251" s="213">
        <f>IF(K$10='CHUNG TU'!$I242,'CHUNG TU'!$L242,0)</f>
        <v>0</v>
      </c>
      <c r="L251" s="213">
        <f>IF(L$10='CHUNG TU'!$I242,'CHUNG TU'!$L242,0)</f>
        <v>0</v>
      </c>
      <c r="M251" s="213">
        <f>IF(M$10='CHUNG TU'!$I242,'CHUNG TU'!$L242,0)</f>
        <v>0</v>
      </c>
      <c r="N251" s="213">
        <f>IF(N$10='CHUNG TU'!$I242,'CHUNG TU'!$L242,0)</f>
        <v>0</v>
      </c>
      <c r="O251" s="213">
        <f>IF(F251&lt;&gt;0,'CHUNG TU'!J242,"")</f>
      </c>
      <c r="P251" s="213">
        <f>IF(LEFT('CHUNG TU'!J242,3)='CPSXKD 642_yếu tố'!$H$7,'CHUNG TU'!$L242,0)</f>
        <v>0</v>
      </c>
      <c r="Q251" s="213">
        <f>IF(P251&lt;&gt;0,'CHUNG TU'!I242,"")</f>
      </c>
    </row>
    <row r="252" spans="2:17" ht="12.75">
      <c r="B252" s="213">
        <f>IF($F252+$P252&lt;&gt;0,'CHUNG TU'!A243,"")</f>
      </c>
      <c r="C252" s="213">
        <f>IF($F252+$P252&lt;&gt;0,IF('CHUNG TU'!B243&lt;&gt;"",'CHUNG TU'!B243,IF('CHUNG TU'!C243&lt;&gt;"",'CHUNG TU'!C243,'CHUNG TU'!D243)),"")</f>
      </c>
      <c r="D252" s="213">
        <f>IF($F252+$P252&lt;&gt;0,'CHUNG TU'!F243,"")</f>
      </c>
      <c r="E252" s="213">
        <f>IF($F252+$P252&lt;&gt;0,'CHUNG TU'!H243,"")</f>
      </c>
      <c r="F252" s="213">
        <f>IF(LEFT('CHUNG TU'!I243,3)='CPSXKD 642_yếu tố'!$H$7,'CHUNG TU'!$L243,0)</f>
        <v>0</v>
      </c>
      <c r="G252" s="213">
        <f>IF(G$10='CHUNG TU'!$I243,'CHUNG TU'!$L243,0)</f>
        <v>0</v>
      </c>
      <c r="H252" s="213">
        <f>IF(H$10='CHUNG TU'!$I243,'CHUNG TU'!$L243,0)</f>
        <v>0</v>
      </c>
      <c r="I252" s="213">
        <f>IF(I$10='CHUNG TU'!$I243,'CHUNG TU'!$L243,0)</f>
        <v>0</v>
      </c>
      <c r="J252" s="213">
        <f>IF(J$10='CHUNG TU'!$I243,'CHUNG TU'!$L243,0)</f>
        <v>0</v>
      </c>
      <c r="K252" s="213">
        <f>IF(K$10='CHUNG TU'!$I243,'CHUNG TU'!$L243,0)</f>
        <v>0</v>
      </c>
      <c r="L252" s="213">
        <f>IF(L$10='CHUNG TU'!$I243,'CHUNG TU'!$L243,0)</f>
        <v>0</v>
      </c>
      <c r="M252" s="213">
        <f>IF(M$10='CHUNG TU'!$I243,'CHUNG TU'!$L243,0)</f>
        <v>0</v>
      </c>
      <c r="N252" s="213">
        <f>IF(N$10='CHUNG TU'!$I243,'CHUNG TU'!$L243,0)</f>
        <v>0</v>
      </c>
      <c r="O252" s="213">
        <f>IF(F252&lt;&gt;0,'CHUNG TU'!J243,"")</f>
      </c>
      <c r="P252" s="213">
        <f>IF(LEFT('CHUNG TU'!J243,3)='CPSXKD 642_yếu tố'!$H$7,'CHUNG TU'!$L243,0)</f>
        <v>0</v>
      </c>
      <c r="Q252" s="213">
        <f>IF(P252&lt;&gt;0,'CHUNG TU'!I243,"")</f>
      </c>
    </row>
    <row r="253" spans="2:17" ht="12.75">
      <c r="B253" s="213">
        <f>IF($F253+$P253&lt;&gt;0,'CHUNG TU'!A244,"")</f>
      </c>
      <c r="C253" s="213">
        <f>IF($F253+$P253&lt;&gt;0,IF('CHUNG TU'!B244&lt;&gt;"",'CHUNG TU'!B244,IF('CHUNG TU'!C244&lt;&gt;"",'CHUNG TU'!C244,'CHUNG TU'!D244)),"")</f>
      </c>
      <c r="D253" s="213">
        <f>IF($F253+$P253&lt;&gt;0,'CHUNG TU'!F244,"")</f>
      </c>
      <c r="E253" s="213">
        <f>IF($F253+$P253&lt;&gt;0,'CHUNG TU'!H244,"")</f>
      </c>
      <c r="F253" s="213">
        <f>IF(LEFT('CHUNG TU'!I244,3)='CPSXKD 642_yếu tố'!$H$7,'CHUNG TU'!$L244,0)</f>
        <v>0</v>
      </c>
      <c r="G253" s="213">
        <f>IF(G$10='CHUNG TU'!$I244,'CHUNG TU'!$L244,0)</f>
        <v>0</v>
      </c>
      <c r="H253" s="213">
        <f>IF(H$10='CHUNG TU'!$I244,'CHUNG TU'!$L244,0)</f>
        <v>0</v>
      </c>
      <c r="I253" s="213">
        <f>IF(I$10='CHUNG TU'!$I244,'CHUNG TU'!$L244,0)</f>
        <v>0</v>
      </c>
      <c r="J253" s="213">
        <f>IF(J$10='CHUNG TU'!$I244,'CHUNG TU'!$L244,0)</f>
        <v>0</v>
      </c>
      <c r="K253" s="213">
        <f>IF(K$10='CHUNG TU'!$I244,'CHUNG TU'!$L244,0)</f>
        <v>0</v>
      </c>
      <c r="L253" s="213">
        <f>IF(L$10='CHUNG TU'!$I244,'CHUNG TU'!$L244,0)</f>
        <v>0</v>
      </c>
      <c r="M253" s="213">
        <f>IF(M$10='CHUNG TU'!$I244,'CHUNG TU'!$L244,0)</f>
        <v>0</v>
      </c>
      <c r="N253" s="213">
        <f>IF(N$10='CHUNG TU'!$I244,'CHUNG TU'!$L244,0)</f>
        <v>0</v>
      </c>
      <c r="O253" s="213">
        <f>IF(F253&lt;&gt;0,'CHUNG TU'!J244,"")</f>
      </c>
      <c r="P253" s="213">
        <f>IF(LEFT('CHUNG TU'!J244,3)='CPSXKD 642_yếu tố'!$H$7,'CHUNG TU'!$L244,0)</f>
        <v>0</v>
      </c>
      <c r="Q253" s="213">
        <f>IF(P253&lt;&gt;0,'CHUNG TU'!I244,"")</f>
      </c>
    </row>
    <row r="254" spans="2:17" ht="12.75">
      <c r="B254" s="213">
        <f>IF($F254+$P254&lt;&gt;0,'CHUNG TU'!A245,"")</f>
      </c>
      <c r="C254" s="213">
        <f>IF($F254+$P254&lt;&gt;0,IF('CHUNG TU'!B245&lt;&gt;"",'CHUNG TU'!B245,IF('CHUNG TU'!C245&lt;&gt;"",'CHUNG TU'!C245,'CHUNG TU'!D245)),"")</f>
      </c>
      <c r="D254" s="213">
        <f>IF($F254+$P254&lt;&gt;0,'CHUNG TU'!F245,"")</f>
      </c>
      <c r="E254" s="213">
        <f>IF($F254+$P254&lt;&gt;0,'CHUNG TU'!H245,"")</f>
      </c>
      <c r="F254" s="213">
        <f>IF(LEFT('CHUNG TU'!I245,3)='CPSXKD 642_yếu tố'!$H$7,'CHUNG TU'!$L245,0)</f>
        <v>0</v>
      </c>
      <c r="G254" s="213">
        <f>IF(G$10='CHUNG TU'!$I245,'CHUNG TU'!$L245,0)</f>
        <v>0</v>
      </c>
      <c r="H254" s="213">
        <f>IF(H$10='CHUNG TU'!$I245,'CHUNG TU'!$L245,0)</f>
        <v>0</v>
      </c>
      <c r="I254" s="213">
        <f>IF(I$10='CHUNG TU'!$I245,'CHUNG TU'!$L245,0)</f>
        <v>0</v>
      </c>
      <c r="J254" s="213">
        <f>IF(J$10='CHUNG TU'!$I245,'CHUNG TU'!$L245,0)</f>
        <v>0</v>
      </c>
      <c r="K254" s="213">
        <f>IF(K$10='CHUNG TU'!$I245,'CHUNG TU'!$L245,0)</f>
        <v>0</v>
      </c>
      <c r="L254" s="213">
        <f>IF(L$10='CHUNG TU'!$I245,'CHUNG TU'!$L245,0)</f>
        <v>0</v>
      </c>
      <c r="M254" s="213">
        <f>IF(M$10='CHUNG TU'!$I245,'CHUNG TU'!$L245,0)</f>
        <v>0</v>
      </c>
      <c r="N254" s="213">
        <f>IF(N$10='CHUNG TU'!$I245,'CHUNG TU'!$L245,0)</f>
        <v>0</v>
      </c>
      <c r="O254" s="213">
        <f>IF(F254&lt;&gt;0,'CHUNG TU'!J245,"")</f>
      </c>
      <c r="P254" s="213">
        <f>IF(LEFT('CHUNG TU'!J245,3)='CPSXKD 642_yếu tố'!$H$7,'CHUNG TU'!$L245,0)</f>
        <v>0</v>
      </c>
      <c r="Q254" s="213">
        <f>IF(P254&lt;&gt;0,'CHUNG TU'!I245,"")</f>
      </c>
    </row>
    <row r="255" spans="2:17" ht="12.75">
      <c r="B255" s="213">
        <f>IF($F255+$P255&lt;&gt;0,'CHUNG TU'!A246,"")</f>
      </c>
      <c r="C255" s="213">
        <f>IF($F255+$P255&lt;&gt;0,IF('CHUNG TU'!B246&lt;&gt;"",'CHUNG TU'!B246,IF('CHUNG TU'!C246&lt;&gt;"",'CHUNG TU'!C246,'CHUNG TU'!D246)),"")</f>
      </c>
      <c r="D255" s="213">
        <f>IF($F255+$P255&lt;&gt;0,'CHUNG TU'!F246,"")</f>
      </c>
      <c r="E255" s="213">
        <f>IF($F255+$P255&lt;&gt;0,'CHUNG TU'!H246,"")</f>
      </c>
      <c r="F255" s="213">
        <f>IF(LEFT('CHUNG TU'!I246,3)='CPSXKD 642_yếu tố'!$H$7,'CHUNG TU'!$L246,0)</f>
        <v>0</v>
      </c>
      <c r="G255" s="213">
        <f>IF(G$10='CHUNG TU'!$I246,'CHUNG TU'!$L246,0)</f>
        <v>0</v>
      </c>
      <c r="H255" s="213">
        <f>IF(H$10='CHUNG TU'!$I246,'CHUNG TU'!$L246,0)</f>
        <v>0</v>
      </c>
      <c r="I255" s="213">
        <f>IF(I$10='CHUNG TU'!$I246,'CHUNG TU'!$L246,0)</f>
        <v>0</v>
      </c>
      <c r="J255" s="213">
        <f>IF(J$10='CHUNG TU'!$I246,'CHUNG TU'!$L246,0)</f>
        <v>0</v>
      </c>
      <c r="K255" s="213">
        <f>IF(K$10='CHUNG TU'!$I246,'CHUNG TU'!$L246,0)</f>
        <v>0</v>
      </c>
      <c r="L255" s="213">
        <f>IF(L$10='CHUNG TU'!$I246,'CHUNG TU'!$L246,0)</f>
        <v>0</v>
      </c>
      <c r="M255" s="213">
        <f>IF(M$10='CHUNG TU'!$I246,'CHUNG TU'!$L246,0)</f>
        <v>0</v>
      </c>
      <c r="N255" s="213">
        <f>IF(N$10='CHUNG TU'!$I246,'CHUNG TU'!$L246,0)</f>
        <v>0</v>
      </c>
      <c r="O255" s="213">
        <f>IF(F255&lt;&gt;0,'CHUNG TU'!J246,"")</f>
      </c>
      <c r="P255" s="213">
        <f>IF(LEFT('CHUNG TU'!J246,3)='CPSXKD 642_yếu tố'!$H$7,'CHUNG TU'!$L246,0)</f>
        <v>0</v>
      </c>
      <c r="Q255" s="213">
        <f>IF(P255&lt;&gt;0,'CHUNG TU'!I246,"")</f>
      </c>
    </row>
    <row r="256" spans="2:17" ht="12.75">
      <c r="B256" s="213">
        <f>IF($F256+$P256&lt;&gt;0,'CHUNG TU'!A247,"")</f>
      </c>
      <c r="C256" s="213">
        <f>IF($F256+$P256&lt;&gt;0,IF('CHUNG TU'!B247&lt;&gt;"",'CHUNG TU'!B247,IF('CHUNG TU'!C247&lt;&gt;"",'CHUNG TU'!C247,'CHUNG TU'!D247)),"")</f>
      </c>
      <c r="D256" s="213">
        <f>IF($F256+$P256&lt;&gt;0,'CHUNG TU'!F247,"")</f>
      </c>
      <c r="E256" s="213">
        <f>IF($F256+$P256&lt;&gt;0,'CHUNG TU'!H247,"")</f>
      </c>
      <c r="F256" s="213">
        <f>IF(LEFT('CHUNG TU'!I247,3)='CPSXKD 642_yếu tố'!$H$7,'CHUNG TU'!$L247,0)</f>
        <v>0</v>
      </c>
      <c r="G256" s="213">
        <f>IF(G$10='CHUNG TU'!$I247,'CHUNG TU'!$L247,0)</f>
        <v>0</v>
      </c>
      <c r="H256" s="213">
        <f>IF(H$10='CHUNG TU'!$I247,'CHUNG TU'!$L247,0)</f>
        <v>0</v>
      </c>
      <c r="I256" s="213">
        <f>IF(I$10='CHUNG TU'!$I247,'CHUNG TU'!$L247,0)</f>
        <v>0</v>
      </c>
      <c r="J256" s="213">
        <f>IF(J$10='CHUNG TU'!$I247,'CHUNG TU'!$L247,0)</f>
        <v>0</v>
      </c>
      <c r="K256" s="213">
        <f>IF(K$10='CHUNG TU'!$I247,'CHUNG TU'!$L247,0)</f>
        <v>0</v>
      </c>
      <c r="L256" s="213">
        <f>IF(L$10='CHUNG TU'!$I247,'CHUNG TU'!$L247,0)</f>
        <v>0</v>
      </c>
      <c r="M256" s="213">
        <f>IF(M$10='CHUNG TU'!$I247,'CHUNG TU'!$L247,0)</f>
        <v>0</v>
      </c>
      <c r="N256" s="213">
        <f>IF(N$10='CHUNG TU'!$I247,'CHUNG TU'!$L247,0)</f>
        <v>0</v>
      </c>
      <c r="O256" s="213">
        <f>IF(F256&lt;&gt;0,'CHUNG TU'!J247,"")</f>
      </c>
      <c r="P256" s="213">
        <f>IF(LEFT('CHUNG TU'!J247,3)='CPSXKD 642_yếu tố'!$H$7,'CHUNG TU'!$L247,0)</f>
        <v>0</v>
      </c>
      <c r="Q256" s="213">
        <f>IF(P256&lt;&gt;0,'CHUNG TU'!I247,"")</f>
      </c>
    </row>
    <row r="257" spans="2:17" ht="12.75">
      <c r="B257" s="213">
        <f>IF($F257+$P257&lt;&gt;0,'CHUNG TU'!A248,"")</f>
      </c>
      <c r="C257" s="213">
        <f>IF($F257+$P257&lt;&gt;0,IF('CHUNG TU'!B248&lt;&gt;"",'CHUNG TU'!B248,IF('CHUNG TU'!C248&lt;&gt;"",'CHUNG TU'!C248,'CHUNG TU'!D248)),"")</f>
      </c>
      <c r="D257" s="213">
        <f>IF($F257+$P257&lt;&gt;0,'CHUNG TU'!F248,"")</f>
      </c>
      <c r="E257" s="213">
        <f>IF($F257+$P257&lt;&gt;0,'CHUNG TU'!H248,"")</f>
      </c>
      <c r="F257" s="213">
        <f>IF(LEFT('CHUNG TU'!I248,3)='CPSXKD 642_yếu tố'!$H$7,'CHUNG TU'!$L248,0)</f>
        <v>0</v>
      </c>
      <c r="G257" s="213">
        <f>IF(G$10='CHUNG TU'!$I248,'CHUNG TU'!$L248,0)</f>
        <v>0</v>
      </c>
      <c r="H257" s="213">
        <f>IF(H$10='CHUNG TU'!$I248,'CHUNG TU'!$L248,0)</f>
        <v>0</v>
      </c>
      <c r="I257" s="213">
        <f>IF(I$10='CHUNG TU'!$I248,'CHUNG TU'!$L248,0)</f>
        <v>0</v>
      </c>
      <c r="J257" s="213">
        <f>IF(J$10='CHUNG TU'!$I248,'CHUNG TU'!$L248,0)</f>
        <v>0</v>
      </c>
      <c r="K257" s="213">
        <f>IF(K$10='CHUNG TU'!$I248,'CHUNG TU'!$L248,0)</f>
        <v>0</v>
      </c>
      <c r="L257" s="213">
        <f>IF(L$10='CHUNG TU'!$I248,'CHUNG TU'!$L248,0)</f>
        <v>0</v>
      </c>
      <c r="M257" s="213">
        <f>IF(M$10='CHUNG TU'!$I248,'CHUNG TU'!$L248,0)</f>
        <v>0</v>
      </c>
      <c r="N257" s="213">
        <f>IF(N$10='CHUNG TU'!$I248,'CHUNG TU'!$L248,0)</f>
        <v>0</v>
      </c>
      <c r="O257" s="213">
        <f>IF(F257&lt;&gt;0,'CHUNG TU'!J248,"")</f>
      </c>
      <c r="P257" s="213">
        <f>IF(LEFT('CHUNG TU'!J248,3)='CPSXKD 642_yếu tố'!$H$7,'CHUNG TU'!$L248,0)</f>
        <v>0</v>
      </c>
      <c r="Q257" s="213">
        <f>IF(P257&lt;&gt;0,'CHUNG TU'!I248,"")</f>
      </c>
    </row>
    <row r="258" spans="2:17" ht="12.75">
      <c r="B258" s="213">
        <f>IF($F258+$P258&lt;&gt;0,'CHUNG TU'!A249,"")</f>
      </c>
      <c r="C258" s="213">
        <f>IF($F258+$P258&lt;&gt;0,IF('CHUNG TU'!B249&lt;&gt;"",'CHUNG TU'!B249,IF('CHUNG TU'!C249&lt;&gt;"",'CHUNG TU'!C249,'CHUNG TU'!D249)),"")</f>
      </c>
      <c r="D258" s="213">
        <f>IF($F258+$P258&lt;&gt;0,'CHUNG TU'!F249,"")</f>
      </c>
      <c r="E258" s="213">
        <f>IF($F258+$P258&lt;&gt;0,'CHUNG TU'!H249,"")</f>
      </c>
      <c r="F258" s="213">
        <f>IF(LEFT('CHUNG TU'!I249,3)='CPSXKD 642_yếu tố'!$H$7,'CHUNG TU'!$L249,0)</f>
        <v>0</v>
      </c>
      <c r="G258" s="213">
        <f>IF(G$10='CHUNG TU'!$I249,'CHUNG TU'!$L249,0)</f>
        <v>0</v>
      </c>
      <c r="H258" s="213">
        <f>IF(H$10='CHUNG TU'!$I249,'CHUNG TU'!$L249,0)</f>
        <v>0</v>
      </c>
      <c r="I258" s="213">
        <f>IF(I$10='CHUNG TU'!$I249,'CHUNG TU'!$L249,0)</f>
        <v>0</v>
      </c>
      <c r="J258" s="213">
        <f>IF(J$10='CHUNG TU'!$I249,'CHUNG TU'!$L249,0)</f>
        <v>0</v>
      </c>
      <c r="K258" s="213">
        <f>IF(K$10='CHUNG TU'!$I249,'CHUNG TU'!$L249,0)</f>
        <v>0</v>
      </c>
      <c r="L258" s="213">
        <f>IF(L$10='CHUNG TU'!$I249,'CHUNG TU'!$L249,0)</f>
        <v>0</v>
      </c>
      <c r="M258" s="213">
        <f>IF(M$10='CHUNG TU'!$I249,'CHUNG TU'!$L249,0)</f>
        <v>0</v>
      </c>
      <c r="N258" s="213">
        <f>IF(N$10='CHUNG TU'!$I249,'CHUNG TU'!$L249,0)</f>
        <v>0</v>
      </c>
      <c r="O258" s="213">
        <f>IF(F258&lt;&gt;0,'CHUNG TU'!J249,"")</f>
      </c>
      <c r="P258" s="213">
        <f>IF(LEFT('CHUNG TU'!J249,3)='CPSXKD 642_yếu tố'!$H$7,'CHUNG TU'!$L249,0)</f>
        <v>0</v>
      </c>
      <c r="Q258" s="213">
        <f>IF(P258&lt;&gt;0,'CHUNG TU'!I249,"")</f>
      </c>
    </row>
    <row r="259" spans="2:17" ht="12.75">
      <c r="B259" s="213" t="str">
        <f>IF($F259+$P259&lt;&gt;0,'CHUNG TU'!A250,"")</f>
        <v>30/10/2020</v>
      </c>
      <c r="C259" s="213" t="str">
        <f>IF($F259+$P259&lt;&gt;0,IF('CHUNG TU'!B250&lt;&gt;"",'CHUNG TU'!B250,IF('CHUNG TU'!C250&lt;&gt;"",'CHUNG TU'!C250,'CHUNG TU'!D250)),"")</f>
        <v>PKT10/098</v>
      </c>
      <c r="D259" s="213" t="str">
        <f>IF($F259+$P259&lt;&gt;0,'CHUNG TU'!F250,"")</f>
        <v>30/10/2020</v>
      </c>
      <c r="E259" s="213" t="str">
        <f>IF($F259+$P259&lt;&gt;0,'CHUNG TU'!H250,"")</f>
        <v>Trích KPCĐ của nhân viên bộ phận QLDN</v>
      </c>
      <c r="F259" s="213">
        <f>IF(LEFT('CHUNG TU'!I250,3)='CPSXKD 642_yếu tố'!$H$7,'CHUNG TU'!$L250,0)</f>
        <v>1644000</v>
      </c>
      <c r="G259" s="213">
        <f>IF(G$10='CHUNG TU'!$I250,'CHUNG TU'!$L250,0)</f>
        <v>1644000</v>
      </c>
      <c r="H259" s="213">
        <f>IF(H$10='CHUNG TU'!$I250,'CHUNG TU'!$L250,0)</f>
        <v>0</v>
      </c>
      <c r="I259" s="213">
        <f>IF(I$10='CHUNG TU'!$I250,'CHUNG TU'!$L250,0)</f>
        <v>0</v>
      </c>
      <c r="J259" s="213">
        <f>IF(J$10='CHUNG TU'!$I250,'CHUNG TU'!$L250,0)</f>
        <v>0</v>
      </c>
      <c r="K259" s="213">
        <f>IF(K$10='CHUNG TU'!$I250,'CHUNG TU'!$L250,0)</f>
        <v>0</v>
      </c>
      <c r="L259" s="213">
        <f>IF(L$10='CHUNG TU'!$I250,'CHUNG TU'!$L250,0)</f>
        <v>0</v>
      </c>
      <c r="M259" s="213">
        <f>IF(M$10='CHUNG TU'!$I250,'CHUNG TU'!$L250,0)</f>
        <v>0</v>
      </c>
      <c r="N259" s="213">
        <f>IF(N$10='CHUNG TU'!$I250,'CHUNG TU'!$L250,0)</f>
        <v>0</v>
      </c>
      <c r="O259" s="213" t="str">
        <f>IF(F259&lt;&gt;0,'CHUNG TU'!J250,"")</f>
        <v>3382</v>
      </c>
      <c r="P259" s="213">
        <f>IF(LEFT('CHUNG TU'!J250,3)='CPSXKD 642_yếu tố'!$H$7,'CHUNG TU'!$L250,0)</f>
        <v>0</v>
      </c>
      <c r="Q259" s="213">
        <f>IF(P259&lt;&gt;0,'CHUNG TU'!I250,"")</f>
      </c>
    </row>
    <row r="260" spans="2:17" ht="12.75">
      <c r="B260" s="213">
        <f>IF($F260+$P260&lt;&gt;0,'CHUNG TU'!A251,"")</f>
      </c>
      <c r="C260" s="213">
        <f>IF($F260+$P260&lt;&gt;0,IF('CHUNG TU'!B251&lt;&gt;"",'CHUNG TU'!B251,IF('CHUNG TU'!C251&lt;&gt;"",'CHUNG TU'!C251,'CHUNG TU'!D251)),"")</f>
      </c>
      <c r="D260" s="213">
        <f>IF($F260+$P260&lt;&gt;0,'CHUNG TU'!F251,"")</f>
      </c>
      <c r="E260" s="213">
        <f>IF($F260+$P260&lt;&gt;0,'CHUNG TU'!H251,"")</f>
      </c>
      <c r="F260" s="213">
        <f>IF(LEFT('CHUNG TU'!I251,3)='CPSXKD 642_yếu tố'!$H$7,'CHUNG TU'!$L251,0)</f>
        <v>0</v>
      </c>
      <c r="G260" s="213">
        <f>IF(G$10='CHUNG TU'!$I251,'CHUNG TU'!$L251,0)</f>
        <v>0</v>
      </c>
      <c r="H260" s="213">
        <f>IF(H$10='CHUNG TU'!$I251,'CHUNG TU'!$L251,0)</f>
        <v>0</v>
      </c>
      <c r="I260" s="213">
        <f>IF(I$10='CHUNG TU'!$I251,'CHUNG TU'!$L251,0)</f>
        <v>0</v>
      </c>
      <c r="J260" s="213">
        <f>IF(J$10='CHUNG TU'!$I251,'CHUNG TU'!$L251,0)</f>
        <v>0</v>
      </c>
      <c r="K260" s="213">
        <f>IF(K$10='CHUNG TU'!$I251,'CHUNG TU'!$L251,0)</f>
        <v>0</v>
      </c>
      <c r="L260" s="213">
        <f>IF(L$10='CHUNG TU'!$I251,'CHUNG TU'!$L251,0)</f>
        <v>0</v>
      </c>
      <c r="M260" s="213">
        <f>IF(M$10='CHUNG TU'!$I251,'CHUNG TU'!$L251,0)</f>
        <v>0</v>
      </c>
      <c r="N260" s="213">
        <f>IF(N$10='CHUNG TU'!$I251,'CHUNG TU'!$L251,0)</f>
        <v>0</v>
      </c>
      <c r="O260" s="213">
        <f>IF(F260&lt;&gt;0,'CHUNG TU'!J251,"")</f>
      </c>
      <c r="P260" s="213">
        <f>IF(LEFT('CHUNG TU'!J251,3)='CPSXKD 642_yếu tố'!$H$7,'CHUNG TU'!$L251,0)</f>
        <v>0</v>
      </c>
      <c r="Q260" s="213">
        <f>IF(P260&lt;&gt;0,'CHUNG TU'!I251,"")</f>
      </c>
    </row>
    <row r="261" spans="2:17" ht="12.75">
      <c r="B261" s="213">
        <f>IF($F261+$P261&lt;&gt;0,'CHUNG TU'!A252,"")</f>
      </c>
      <c r="C261" s="213">
        <f>IF($F261+$P261&lt;&gt;0,IF('CHUNG TU'!B252&lt;&gt;"",'CHUNG TU'!B252,IF('CHUNG TU'!C252&lt;&gt;"",'CHUNG TU'!C252,'CHUNG TU'!D252)),"")</f>
      </c>
      <c r="D261" s="213">
        <f>IF($F261+$P261&lt;&gt;0,'CHUNG TU'!F252,"")</f>
      </c>
      <c r="E261" s="213">
        <f>IF($F261+$P261&lt;&gt;0,'CHUNG TU'!H252,"")</f>
      </c>
      <c r="F261" s="213">
        <f>IF(LEFT('CHUNG TU'!I252,3)='CPSXKD 642_yếu tố'!$H$7,'CHUNG TU'!$L252,0)</f>
        <v>0</v>
      </c>
      <c r="G261" s="213">
        <f>IF(G$10='CHUNG TU'!$I252,'CHUNG TU'!$L252,0)</f>
        <v>0</v>
      </c>
      <c r="H261" s="213">
        <f>IF(H$10='CHUNG TU'!$I252,'CHUNG TU'!$L252,0)</f>
        <v>0</v>
      </c>
      <c r="I261" s="213">
        <f>IF(I$10='CHUNG TU'!$I252,'CHUNG TU'!$L252,0)</f>
        <v>0</v>
      </c>
      <c r="J261" s="213">
        <f>IF(J$10='CHUNG TU'!$I252,'CHUNG TU'!$L252,0)</f>
        <v>0</v>
      </c>
      <c r="K261" s="213">
        <f>IF(K$10='CHUNG TU'!$I252,'CHUNG TU'!$L252,0)</f>
        <v>0</v>
      </c>
      <c r="L261" s="213">
        <f>IF(L$10='CHUNG TU'!$I252,'CHUNG TU'!$L252,0)</f>
        <v>0</v>
      </c>
      <c r="M261" s="213">
        <f>IF(M$10='CHUNG TU'!$I252,'CHUNG TU'!$L252,0)</f>
        <v>0</v>
      </c>
      <c r="N261" s="213">
        <f>IF(N$10='CHUNG TU'!$I252,'CHUNG TU'!$L252,0)</f>
        <v>0</v>
      </c>
      <c r="O261" s="213">
        <f>IF(F261&lt;&gt;0,'CHUNG TU'!J252,"")</f>
      </c>
      <c r="P261" s="213">
        <f>IF(LEFT('CHUNG TU'!J252,3)='CPSXKD 642_yếu tố'!$H$7,'CHUNG TU'!$L252,0)</f>
        <v>0</v>
      </c>
      <c r="Q261" s="213">
        <f>IF(P261&lt;&gt;0,'CHUNG TU'!I252,"")</f>
      </c>
    </row>
    <row r="262" spans="2:17" ht="12.75">
      <c r="B262" s="213">
        <f>IF($F262+$P262&lt;&gt;0,'CHUNG TU'!A253,"")</f>
      </c>
      <c r="C262" s="213">
        <f>IF($F262+$P262&lt;&gt;0,IF('CHUNG TU'!B253&lt;&gt;"",'CHUNG TU'!B253,IF('CHUNG TU'!C253&lt;&gt;"",'CHUNG TU'!C253,'CHUNG TU'!D253)),"")</f>
      </c>
      <c r="D262" s="213">
        <f>IF($F262+$P262&lt;&gt;0,'CHUNG TU'!F253,"")</f>
      </c>
      <c r="E262" s="213">
        <f>IF($F262+$P262&lt;&gt;0,'CHUNG TU'!H253,"")</f>
      </c>
      <c r="F262" s="213">
        <f>IF(LEFT('CHUNG TU'!I253,3)='CPSXKD 642_yếu tố'!$H$7,'CHUNG TU'!$L253,0)</f>
        <v>0</v>
      </c>
      <c r="G262" s="213">
        <f>IF(G$10='CHUNG TU'!$I253,'CHUNG TU'!$L253,0)</f>
        <v>0</v>
      </c>
      <c r="H262" s="213">
        <f>IF(H$10='CHUNG TU'!$I253,'CHUNG TU'!$L253,0)</f>
        <v>0</v>
      </c>
      <c r="I262" s="213">
        <f>IF(I$10='CHUNG TU'!$I253,'CHUNG TU'!$L253,0)</f>
        <v>0</v>
      </c>
      <c r="J262" s="213">
        <f>IF(J$10='CHUNG TU'!$I253,'CHUNG TU'!$L253,0)</f>
        <v>0</v>
      </c>
      <c r="K262" s="213">
        <f>IF(K$10='CHUNG TU'!$I253,'CHUNG TU'!$L253,0)</f>
        <v>0</v>
      </c>
      <c r="L262" s="213">
        <f>IF(L$10='CHUNG TU'!$I253,'CHUNG TU'!$L253,0)</f>
        <v>0</v>
      </c>
      <c r="M262" s="213">
        <f>IF(M$10='CHUNG TU'!$I253,'CHUNG TU'!$L253,0)</f>
        <v>0</v>
      </c>
      <c r="N262" s="213">
        <f>IF(N$10='CHUNG TU'!$I253,'CHUNG TU'!$L253,0)</f>
        <v>0</v>
      </c>
      <c r="O262" s="213">
        <f>IF(F262&lt;&gt;0,'CHUNG TU'!J253,"")</f>
      </c>
      <c r="P262" s="213">
        <f>IF(LEFT('CHUNG TU'!J253,3)='CPSXKD 642_yếu tố'!$H$7,'CHUNG TU'!$L253,0)</f>
        <v>0</v>
      </c>
      <c r="Q262" s="213">
        <f>IF(P262&lt;&gt;0,'CHUNG TU'!I253,"")</f>
      </c>
    </row>
    <row r="263" spans="2:17" ht="12.75">
      <c r="B263" s="213">
        <f>IF($F263+$P263&lt;&gt;0,'CHUNG TU'!A254,"")</f>
      </c>
      <c r="C263" s="213">
        <f>IF($F263+$P263&lt;&gt;0,IF('CHUNG TU'!B254&lt;&gt;"",'CHUNG TU'!B254,IF('CHUNG TU'!C254&lt;&gt;"",'CHUNG TU'!C254,'CHUNG TU'!D254)),"")</f>
      </c>
      <c r="D263" s="213">
        <f>IF($F263+$P263&lt;&gt;0,'CHUNG TU'!F254,"")</f>
      </c>
      <c r="E263" s="213">
        <f>IF($F263+$P263&lt;&gt;0,'CHUNG TU'!H254,"")</f>
      </c>
      <c r="F263" s="213">
        <f>IF(LEFT('CHUNG TU'!I254,3)='CPSXKD 642_yếu tố'!$H$7,'CHUNG TU'!$L254,0)</f>
        <v>0</v>
      </c>
      <c r="G263" s="213">
        <f>IF(G$10='CHUNG TU'!$I254,'CHUNG TU'!$L254,0)</f>
        <v>0</v>
      </c>
      <c r="H263" s="213">
        <f>IF(H$10='CHUNG TU'!$I254,'CHUNG TU'!$L254,0)</f>
        <v>0</v>
      </c>
      <c r="I263" s="213">
        <f>IF(I$10='CHUNG TU'!$I254,'CHUNG TU'!$L254,0)</f>
        <v>0</v>
      </c>
      <c r="J263" s="213">
        <f>IF(J$10='CHUNG TU'!$I254,'CHUNG TU'!$L254,0)</f>
        <v>0</v>
      </c>
      <c r="K263" s="213">
        <f>IF(K$10='CHUNG TU'!$I254,'CHUNG TU'!$L254,0)</f>
        <v>0</v>
      </c>
      <c r="L263" s="213">
        <f>IF(L$10='CHUNG TU'!$I254,'CHUNG TU'!$L254,0)</f>
        <v>0</v>
      </c>
      <c r="M263" s="213">
        <f>IF(M$10='CHUNG TU'!$I254,'CHUNG TU'!$L254,0)</f>
        <v>0</v>
      </c>
      <c r="N263" s="213">
        <f>IF(N$10='CHUNG TU'!$I254,'CHUNG TU'!$L254,0)</f>
        <v>0</v>
      </c>
      <c r="O263" s="213">
        <f>IF(F263&lt;&gt;0,'CHUNG TU'!J254,"")</f>
      </c>
      <c r="P263" s="213">
        <f>IF(LEFT('CHUNG TU'!J254,3)='CPSXKD 642_yếu tố'!$H$7,'CHUNG TU'!$L254,0)</f>
        <v>0</v>
      </c>
      <c r="Q263" s="213">
        <f>IF(P263&lt;&gt;0,'CHUNG TU'!I254,"")</f>
      </c>
    </row>
    <row r="264" spans="2:17" ht="12.75">
      <c r="B264" s="213">
        <f>IF($F264+$P264&lt;&gt;0,'CHUNG TU'!A255,"")</f>
      </c>
      <c r="C264" s="213">
        <f>IF($F264+$P264&lt;&gt;0,IF('CHUNG TU'!B255&lt;&gt;"",'CHUNG TU'!B255,IF('CHUNG TU'!C255&lt;&gt;"",'CHUNG TU'!C255,'CHUNG TU'!D255)),"")</f>
      </c>
      <c r="D264" s="213">
        <f>IF($F264+$P264&lt;&gt;0,'CHUNG TU'!F255,"")</f>
      </c>
      <c r="E264" s="213">
        <f>IF($F264+$P264&lt;&gt;0,'CHUNG TU'!H255,"")</f>
      </c>
      <c r="F264" s="213">
        <f>IF(LEFT('CHUNG TU'!I255,3)='CPSXKD 642_yếu tố'!$H$7,'CHUNG TU'!$L255,0)</f>
        <v>0</v>
      </c>
      <c r="G264" s="213">
        <f>IF(G$10='CHUNG TU'!$I255,'CHUNG TU'!$L255,0)</f>
        <v>0</v>
      </c>
      <c r="H264" s="213">
        <f>IF(H$10='CHUNG TU'!$I255,'CHUNG TU'!$L255,0)</f>
        <v>0</v>
      </c>
      <c r="I264" s="213">
        <f>IF(I$10='CHUNG TU'!$I255,'CHUNG TU'!$L255,0)</f>
        <v>0</v>
      </c>
      <c r="J264" s="213">
        <f>IF(J$10='CHUNG TU'!$I255,'CHUNG TU'!$L255,0)</f>
        <v>0</v>
      </c>
      <c r="K264" s="213">
        <f>IF(K$10='CHUNG TU'!$I255,'CHUNG TU'!$L255,0)</f>
        <v>0</v>
      </c>
      <c r="L264" s="213">
        <f>IF(L$10='CHUNG TU'!$I255,'CHUNG TU'!$L255,0)</f>
        <v>0</v>
      </c>
      <c r="M264" s="213">
        <f>IF(M$10='CHUNG TU'!$I255,'CHUNG TU'!$L255,0)</f>
        <v>0</v>
      </c>
      <c r="N264" s="213">
        <f>IF(N$10='CHUNG TU'!$I255,'CHUNG TU'!$L255,0)</f>
        <v>0</v>
      </c>
      <c r="O264" s="213">
        <f>IF(F264&lt;&gt;0,'CHUNG TU'!J255,"")</f>
      </c>
      <c r="P264" s="213">
        <f>IF(LEFT('CHUNG TU'!J255,3)='CPSXKD 642_yếu tố'!$H$7,'CHUNG TU'!$L255,0)</f>
        <v>0</v>
      </c>
      <c r="Q264" s="213">
        <f>IF(P264&lt;&gt;0,'CHUNG TU'!I255,"")</f>
      </c>
    </row>
    <row r="265" spans="2:17" ht="12.75">
      <c r="B265" s="213">
        <f>IF($F265+$P265&lt;&gt;0,'CHUNG TU'!A256,"")</f>
      </c>
      <c r="C265" s="213">
        <f>IF($F265+$P265&lt;&gt;0,IF('CHUNG TU'!B256&lt;&gt;"",'CHUNG TU'!B256,IF('CHUNG TU'!C256&lt;&gt;"",'CHUNG TU'!C256,'CHUNG TU'!D256)),"")</f>
      </c>
      <c r="D265" s="213">
        <f>IF($F265+$P265&lt;&gt;0,'CHUNG TU'!F256,"")</f>
      </c>
      <c r="E265" s="213">
        <f>IF($F265+$P265&lt;&gt;0,'CHUNG TU'!H256,"")</f>
      </c>
      <c r="F265" s="213">
        <f>IF(LEFT('CHUNG TU'!I256,3)='CPSXKD 642_yếu tố'!$H$7,'CHUNG TU'!$L256,0)</f>
        <v>0</v>
      </c>
      <c r="G265" s="213">
        <f>IF(G$10='CHUNG TU'!$I256,'CHUNG TU'!$L256,0)</f>
        <v>0</v>
      </c>
      <c r="H265" s="213">
        <f>IF(H$10='CHUNG TU'!$I256,'CHUNG TU'!$L256,0)</f>
        <v>0</v>
      </c>
      <c r="I265" s="213">
        <f>IF(I$10='CHUNG TU'!$I256,'CHUNG TU'!$L256,0)</f>
        <v>0</v>
      </c>
      <c r="J265" s="213">
        <f>IF(J$10='CHUNG TU'!$I256,'CHUNG TU'!$L256,0)</f>
        <v>0</v>
      </c>
      <c r="K265" s="213">
        <f>IF(K$10='CHUNG TU'!$I256,'CHUNG TU'!$L256,0)</f>
        <v>0</v>
      </c>
      <c r="L265" s="213">
        <f>IF(L$10='CHUNG TU'!$I256,'CHUNG TU'!$L256,0)</f>
        <v>0</v>
      </c>
      <c r="M265" s="213">
        <f>IF(M$10='CHUNG TU'!$I256,'CHUNG TU'!$L256,0)</f>
        <v>0</v>
      </c>
      <c r="N265" s="213">
        <f>IF(N$10='CHUNG TU'!$I256,'CHUNG TU'!$L256,0)</f>
        <v>0</v>
      </c>
      <c r="O265" s="213">
        <f>IF(F265&lt;&gt;0,'CHUNG TU'!J256,"")</f>
      </c>
      <c r="P265" s="213">
        <f>IF(LEFT('CHUNG TU'!J256,3)='CPSXKD 642_yếu tố'!$H$7,'CHUNG TU'!$L256,0)</f>
        <v>0</v>
      </c>
      <c r="Q265" s="213">
        <f>IF(P265&lt;&gt;0,'CHUNG TU'!I256,"")</f>
      </c>
    </row>
    <row r="266" spans="2:17" ht="12.75">
      <c r="B266" s="213" t="str">
        <f>IF($F266+$P266&lt;&gt;0,'CHUNG TU'!A257,"")</f>
        <v>30/10/2020</v>
      </c>
      <c r="C266" s="213" t="str">
        <f>IF($F266+$P266&lt;&gt;0,IF('CHUNG TU'!B257&lt;&gt;"",'CHUNG TU'!B257,IF('CHUNG TU'!C257&lt;&gt;"",'CHUNG TU'!C257,'CHUNG TU'!D257)),"")</f>
        <v>PKT10/098</v>
      </c>
      <c r="D266" s="213" t="str">
        <f>IF($F266+$P266&lt;&gt;0,'CHUNG TU'!F257,"")</f>
        <v>30/10/2020</v>
      </c>
      <c r="E266" s="213" t="str">
        <f>IF($F266+$P266&lt;&gt;0,'CHUNG TU'!H257,"")</f>
        <v>Trích BHXH của nhân viên bộ phận QLDN</v>
      </c>
      <c r="F266" s="213">
        <f>IF(LEFT('CHUNG TU'!I257,3)='CPSXKD 642_yếu tố'!$H$7,'CHUNG TU'!$L257,0)</f>
        <v>14385000</v>
      </c>
      <c r="G266" s="213">
        <f>IF(G$10='CHUNG TU'!$I257,'CHUNG TU'!$L257,0)</f>
        <v>14385000</v>
      </c>
      <c r="H266" s="213">
        <f>IF(H$10='CHUNG TU'!$I257,'CHUNG TU'!$L257,0)</f>
        <v>0</v>
      </c>
      <c r="I266" s="213">
        <f>IF(I$10='CHUNG TU'!$I257,'CHUNG TU'!$L257,0)</f>
        <v>0</v>
      </c>
      <c r="J266" s="213">
        <f>IF(J$10='CHUNG TU'!$I257,'CHUNG TU'!$L257,0)</f>
        <v>0</v>
      </c>
      <c r="K266" s="213">
        <f>IF(K$10='CHUNG TU'!$I257,'CHUNG TU'!$L257,0)</f>
        <v>0</v>
      </c>
      <c r="L266" s="213">
        <f>IF(L$10='CHUNG TU'!$I257,'CHUNG TU'!$L257,0)</f>
        <v>0</v>
      </c>
      <c r="M266" s="213">
        <f>IF(M$10='CHUNG TU'!$I257,'CHUNG TU'!$L257,0)</f>
        <v>0</v>
      </c>
      <c r="N266" s="213">
        <f>IF(N$10='CHUNG TU'!$I257,'CHUNG TU'!$L257,0)</f>
        <v>0</v>
      </c>
      <c r="O266" s="213" t="str">
        <f>IF(F266&lt;&gt;0,'CHUNG TU'!J257,"")</f>
        <v>3383</v>
      </c>
      <c r="P266" s="213">
        <f>IF(LEFT('CHUNG TU'!J257,3)='CPSXKD 642_yếu tố'!$H$7,'CHUNG TU'!$L257,0)</f>
        <v>0</v>
      </c>
      <c r="Q266" s="213">
        <f>IF(P266&lt;&gt;0,'CHUNG TU'!I257,"")</f>
      </c>
    </row>
    <row r="267" spans="2:17" ht="12.75">
      <c r="B267" s="213">
        <f>IF($F267+$P267&lt;&gt;0,'CHUNG TU'!A258,"")</f>
      </c>
      <c r="C267" s="213">
        <f>IF($F267+$P267&lt;&gt;0,IF('CHUNG TU'!B258&lt;&gt;"",'CHUNG TU'!B258,IF('CHUNG TU'!C258&lt;&gt;"",'CHUNG TU'!C258,'CHUNG TU'!D258)),"")</f>
      </c>
      <c r="D267" s="213">
        <f>IF($F267+$P267&lt;&gt;0,'CHUNG TU'!F258,"")</f>
      </c>
      <c r="E267" s="213">
        <f>IF($F267+$P267&lt;&gt;0,'CHUNG TU'!H258,"")</f>
      </c>
      <c r="F267" s="213">
        <f>IF(LEFT('CHUNG TU'!I258,3)='CPSXKD 642_yếu tố'!$H$7,'CHUNG TU'!$L258,0)</f>
        <v>0</v>
      </c>
      <c r="G267" s="213">
        <f>IF(G$10='CHUNG TU'!$I258,'CHUNG TU'!$L258,0)</f>
        <v>0</v>
      </c>
      <c r="H267" s="213">
        <f>IF(H$10='CHUNG TU'!$I258,'CHUNG TU'!$L258,0)</f>
        <v>0</v>
      </c>
      <c r="I267" s="213">
        <f>IF(I$10='CHUNG TU'!$I258,'CHUNG TU'!$L258,0)</f>
        <v>0</v>
      </c>
      <c r="J267" s="213">
        <f>IF(J$10='CHUNG TU'!$I258,'CHUNG TU'!$L258,0)</f>
        <v>0</v>
      </c>
      <c r="K267" s="213">
        <f>IF(K$10='CHUNG TU'!$I258,'CHUNG TU'!$L258,0)</f>
        <v>0</v>
      </c>
      <c r="L267" s="213">
        <f>IF(L$10='CHUNG TU'!$I258,'CHUNG TU'!$L258,0)</f>
        <v>0</v>
      </c>
      <c r="M267" s="213">
        <f>IF(M$10='CHUNG TU'!$I258,'CHUNG TU'!$L258,0)</f>
        <v>0</v>
      </c>
      <c r="N267" s="213">
        <f>IF(N$10='CHUNG TU'!$I258,'CHUNG TU'!$L258,0)</f>
        <v>0</v>
      </c>
      <c r="O267" s="213">
        <f>IF(F267&lt;&gt;0,'CHUNG TU'!J258,"")</f>
      </c>
      <c r="P267" s="213">
        <f>IF(LEFT('CHUNG TU'!J258,3)='CPSXKD 642_yếu tố'!$H$7,'CHUNG TU'!$L258,0)</f>
        <v>0</v>
      </c>
      <c r="Q267" s="213">
        <f>IF(P267&lt;&gt;0,'CHUNG TU'!I258,"")</f>
      </c>
    </row>
    <row r="268" spans="2:17" ht="12.75">
      <c r="B268" s="213">
        <f>IF($F268+$P268&lt;&gt;0,'CHUNG TU'!A259,"")</f>
      </c>
      <c r="C268" s="213">
        <f>IF($F268+$P268&lt;&gt;0,IF('CHUNG TU'!B259&lt;&gt;"",'CHUNG TU'!B259,IF('CHUNG TU'!C259&lt;&gt;"",'CHUNG TU'!C259,'CHUNG TU'!D259)),"")</f>
      </c>
      <c r="D268" s="213">
        <f>IF($F268+$P268&lt;&gt;0,'CHUNG TU'!F259,"")</f>
      </c>
      <c r="E268" s="213">
        <f>IF($F268+$P268&lt;&gt;0,'CHUNG TU'!H259,"")</f>
      </c>
      <c r="F268" s="213">
        <f>IF(LEFT('CHUNG TU'!I259,3)='CPSXKD 642_yếu tố'!$H$7,'CHUNG TU'!$L259,0)</f>
        <v>0</v>
      </c>
      <c r="G268" s="213">
        <f>IF(G$10='CHUNG TU'!$I259,'CHUNG TU'!$L259,0)</f>
        <v>0</v>
      </c>
      <c r="H268" s="213">
        <f>IF(H$10='CHUNG TU'!$I259,'CHUNG TU'!$L259,0)</f>
        <v>0</v>
      </c>
      <c r="I268" s="213">
        <f>IF(I$10='CHUNG TU'!$I259,'CHUNG TU'!$L259,0)</f>
        <v>0</v>
      </c>
      <c r="J268" s="213">
        <f>IF(J$10='CHUNG TU'!$I259,'CHUNG TU'!$L259,0)</f>
        <v>0</v>
      </c>
      <c r="K268" s="213">
        <f>IF(K$10='CHUNG TU'!$I259,'CHUNG TU'!$L259,0)</f>
        <v>0</v>
      </c>
      <c r="L268" s="213">
        <f>IF(L$10='CHUNG TU'!$I259,'CHUNG TU'!$L259,0)</f>
        <v>0</v>
      </c>
      <c r="M268" s="213">
        <f>IF(M$10='CHUNG TU'!$I259,'CHUNG TU'!$L259,0)</f>
        <v>0</v>
      </c>
      <c r="N268" s="213">
        <f>IF(N$10='CHUNG TU'!$I259,'CHUNG TU'!$L259,0)</f>
        <v>0</v>
      </c>
      <c r="O268" s="213">
        <f>IF(F268&lt;&gt;0,'CHUNG TU'!J259,"")</f>
      </c>
      <c r="P268" s="213">
        <f>IF(LEFT('CHUNG TU'!J259,3)='CPSXKD 642_yếu tố'!$H$7,'CHUNG TU'!$L259,0)</f>
        <v>0</v>
      </c>
      <c r="Q268" s="213">
        <f>IF(P268&lt;&gt;0,'CHUNG TU'!I259,"")</f>
      </c>
    </row>
    <row r="269" spans="2:17" ht="12.75">
      <c r="B269" s="213">
        <f>IF($F269+$P269&lt;&gt;0,'CHUNG TU'!A260,"")</f>
      </c>
      <c r="C269" s="213">
        <f>IF($F269+$P269&lt;&gt;0,IF('CHUNG TU'!B260&lt;&gt;"",'CHUNG TU'!B260,IF('CHUNG TU'!C260&lt;&gt;"",'CHUNG TU'!C260,'CHUNG TU'!D260)),"")</f>
      </c>
      <c r="D269" s="213">
        <f>IF($F269+$P269&lt;&gt;0,'CHUNG TU'!F260,"")</f>
      </c>
      <c r="E269" s="213">
        <f>IF($F269+$P269&lt;&gt;0,'CHUNG TU'!H260,"")</f>
      </c>
      <c r="F269" s="213">
        <f>IF(LEFT('CHUNG TU'!I260,3)='CPSXKD 642_yếu tố'!$H$7,'CHUNG TU'!$L260,0)</f>
        <v>0</v>
      </c>
      <c r="G269" s="213">
        <f>IF(G$10='CHUNG TU'!$I260,'CHUNG TU'!$L260,0)</f>
        <v>0</v>
      </c>
      <c r="H269" s="213">
        <f>IF(H$10='CHUNG TU'!$I260,'CHUNG TU'!$L260,0)</f>
        <v>0</v>
      </c>
      <c r="I269" s="213">
        <f>IF(I$10='CHUNG TU'!$I260,'CHUNG TU'!$L260,0)</f>
        <v>0</v>
      </c>
      <c r="J269" s="213">
        <f>IF(J$10='CHUNG TU'!$I260,'CHUNG TU'!$L260,0)</f>
        <v>0</v>
      </c>
      <c r="K269" s="213">
        <f>IF(K$10='CHUNG TU'!$I260,'CHUNG TU'!$L260,0)</f>
        <v>0</v>
      </c>
      <c r="L269" s="213">
        <f>IF(L$10='CHUNG TU'!$I260,'CHUNG TU'!$L260,0)</f>
        <v>0</v>
      </c>
      <c r="M269" s="213">
        <f>IF(M$10='CHUNG TU'!$I260,'CHUNG TU'!$L260,0)</f>
        <v>0</v>
      </c>
      <c r="N269" s="213">
        <f>IF(N$10='CHUNG TU'!$I260,'CHUNG TU'!$L260,0)</f>
        <v>0</v>
      </c>
      <c r="O269" s="213">
        <f>IF(F269&lt;&gt;0,'CHUNG TU'!J260,"")</f>
      </c>
      <c r="P269" s="213">
        <f>IF(LEFT('CHUNG TU'!J260,3)='CPSXKD 642_yếu tố'!$H$7,'CHUNG TU'!$L260,0)</f>
        <v>0</v>
      </c>
      <c r="Q269" s="213">
        <f>IF(P269&lt;&gt;0,'CHUNG TU'!I260,"")</f>
      </c>
    </row>
    <row r="270" spans="2:17" ht="12.75">
      <c r="B270" s="213">
        <f>IF($F270+$P270&lt;&gt;0,'CHUNG TU'!A261,"")</f>
      </c>
      <c r="C270" s="213">
        <f>IF($F270+$P270&lt;&gt;0,IF('CHUNG TU'!B261&lt;&gt;"",'CHUNG TU'!B261,IF('CHUNG TU'!C261&lt;&gt;"",'CHUNG TU'!C261,'CHUNG TU'!D261)),"")</f>
      </c>
      <c r="D270" s="213">
        <f>IF($F270+$P270&lt;&gt;0,'CHUNG TU'!F261,"")</f>
      </c>
      <c r="E270" s="213">
        <f>IF($F270+$P270&lt;&gt;0,'CHUNG TU'!H261,"")</f>
      </c>
      <c r="F270" s="213">
        <f>IF(LEFT('CHUNG TU'!I261,3)='CPSXKD 642_yếu tố'!$H$7,'CHUNG TU'!$L261,0)</f>
        <v>0</v>
      </c>
      <c r="G270" s="213">
        <f>IF(G$10='CHUNG TU'!$I261,'CHUNG TU'!$L261,0)</f>
        <v>0</v>
      </c>
      <c r="H270" s="213">
        <f>IF(H$10='CHUNG TU'!$I261,'CHUNG TU'!$L261,0)</f>
        <v>0</v>
      </c>
      <c r="I270" s="213">
        <f>IF(I$10='CHUNG TU'!$I261,'CHUNG TU'!$L261,0)</f>
        <v>0</v>
      </c>
      <c r="J270" s="213">
        <f>IF(J$10='CHUNG TU'!$I261,'CHUNG TU'!$L261,0)</f>
        <v>0</v>
      </c>
      <c r="K270" s="213">
        <f>IF(K$10='CHUNG TU'!$I261,'CHUNG TU'!$L261,0)</f>
        <v>0</v>
      </c>
      <c r="L270" s="213">
        <f>IF(L$10='CHUNG TU'!$I261,'CHUNG TU'!$L261,0)</f>
        <v>0</v>
      </c>
      <c r="M270" s="213">
        <f>IF(M$10='CHUNG TU'!$I261,'CHUNG TU'!$L261,0)</f>
        <v>0</v>
      </c>
      <c r="N270" s="213">
        <f>IF(N$10='CHUNG TU'!$I261,'CHUNG TU'!$L261,0)</f>
        <v>0</v>
      </c>
      <c r="O270" s="213">
        <f>IF(F270&lt;&gt;0,'CHUNG TU'!J261,"")</f>
      </c>
      <c r="P270" s="213">
        <f>IF(LEFT('CHUNG TU'!J261,3)='CPSXKD 642_yếu tố'!$H$7,'CHUNG TU'!$L261,0)</f>
        <v>0</v>
      </c>
      <c r="Q270" s="213">
        <f>IF(P270&lt;&gt;0,'CHUNG TU'!I261,"")</f>
      </c>
    </row>
    <row r="271" spans="2:17" ht="12.75">
      <c r="B271" s="213">
        <f>IF($F271+$P271&lt;&gt;0,'CHUNG TU'!A262,"")</f>
      </c>
      <c r="C271" s="213">
        <f>IF($F271+$P271&lt;&gt;0,IF('CHUNG TU'!B262&lt;&gt;"",'CHUNG TU'!B262,IF('CHUNG TU'!C262&lt;&gt;"",'CHUNG TU'!C262,'CHUNG TU'!D262)),"")</f>
      </c>
      <c r="D271" s="213">
        <f>IF($F271+$P271&lt;&gt;0,'CHUNG TU'!F262,"")</f>
      </c>
      <c r="E271" s="213">
        <f>IF($F271+$P271&lt;&gt;0,'CHUNG TU'!H262,"")</f>
      </c>
      <c r="F271" s="213">
        <f>IF(LEFT('CHUNG TU'!I262,3)='CPSXKD 642_yếu tố'!$H$7,'CHUNG TU'!$L262,0)</f>
        <v>0</v>
      </c>
      <c r="G271" s="213">
        <f>IF(G$10='CHUNG TU'!$I262,'CHUNG TU'!$L262,0)</f>
        <v>0</v>
      </c>
      <c r="H271" s="213">
        <f>IF(H$10='CHUNG TU'!$I262,'CHUNG TU'!$L262,0)</f>
        <v>0</v>
      </c>
      <c r="I271" s="213">
        <f>IF(I$10='CHUNG TU'!$I262,'CHUNG TU'!$L262,0)</f>
        <v>0</v>
      </c>
      <c r="J271" s="213">
        <f>IF(J$10='CHUNG TU'!$I262,'CHUNG TU'!$L262,0)</f>
        <v>0</v>
      </c>
      <c r="K271" s="213">
        <f>IF(K$10='CHUNG TU'!$I262,'CHUNG TU'!$L262,0)</f>
        <v>0</v>
      </c>
      <c r="L271" s="213">
        <f>IF(L$10='CHUNG TU'!$I262,'CHUNG TU'!$L262,0)</f>
        <v>0</v>
      </c>
      <c r="M271" s="213">
        <f>IF(M$10='CHUNG TU'!$I262,'CHUNG TU'!$L262,0)</f>
        <v>0</v>
      </c>
      <c r="N271" s="213">
        <f>IF(N$10='CHUNG TU'!$I262,'CHUNG TU'!$L262,0)</f>
        <v>0</v>
      </c>
      <c r="O271" s="213">
        <f>IF(F271&lt;&gt;0,'CHUNG TU'!J262,"")</f>
      </c>
      <c r="P271" s="213">
        <f>IF(LEFT('CHUNG TU'!J262,3)='CPSXKD 642_yếu tố'!$H$7,'CHUNG TU'!$L262,0)</f>
        <v>0</v>
      </c>
      <c r="Q271" s="213">
        <f>IF(P271&lt;&gt;0,'CHUNG TU'!I262,"")</f>
      </c>
    </row>
    <row r="272" spans="2:17" ht="12.75">
      <c r="B272" s="213">
        <f>IF($F272+$P272&lt;&gt;0,'CHUNG TU'!A263,"")</f>
      </c>
      <c r="C272" s="213">
        <f>IF($F272+$P272&lt;&gt;0,IF('CHUNG TU'!B263&lt;&gt;"",'CHUNG TU'!B263,IF('CHUNG TU'!C263&lt;&gt;"",'CHUNG TU'!C263,'CHUNG TU'!D263)),"")</f>
      </c>
      <c r="D272" s="213">
        <f>IF($F272+$P272&lt;&gt;0,'CHUNG TU'!F263,"")</f>
      </c>
      <c r="E272" s="213">
        <f>IF($F272+$P272&lt;&gt;0,'CHUNG TU'!H263,"")</f>
      </c>
      <c r="F272" s="213">
        <f>IF(LEFT('CHUNG TU'!I263,3)='CPSXKD 642_yếu tố'!$H$7,'CHUNG TU'!$L263,0)</f>
        <v>0</v>
      </c>
      <c r="G272" s="213">
        <f>IF(G$10='CHUNG TU'!$I263,'CHUNG TU'!$L263,0)</f>
        <v>0</v>
      </c>
      <c r="H272" s="213">
        <f>IF(H$10='CHUNG TU'!$I263,'CHUNG TU'!$L263,0)</f>
        <v>0</v>
      </c>
      <c r="I272" s="213">
        <f>IF(I$10='CHUNG TU'!$I263,'CHUNG TU'!$L263,0)</f>
        <v>0</v>
      </c>
      <c r="J272" s="213">
        <f>IF(J$10='CHUNG TU'!$I263,'CHUNG TU'!$L263,0)</f>
        <v>0</v>
      </c>
      <c r="K272" s="213">
        <f>IF(K$10='CHUNG TU'!$I263,'CHUNG TU'!$L263,0)</f>
        <v>0</v>
      </c>
      <c r="L272" s="213">
        <f>IF(L$10='CHUNG TU'!$I263,'CHUNG TU'!$L263,0)</f>
        <v>0</v>
      </c>
      <c r="M272" s="213">
        <f>IF(M$10='CHUNG TU'!$I263,'CHUNG TU'!$L263,0)</f>
        <v>0</v>
      </c>
      <c r="N272" s="213">
        <f>IF(N$10='CHUNG TU'!$I263,'CHUNG TU'!$L263,0)</f>
        <v>0</v>
      </c>
      <c r="O272" s="213">
        <f>IF(F272&lt;&gt;0,'CHUNG TU'!J263,"")</f>
      </c>
      <c r="P272" s="213">
        <f>IF(LEFT('CHUNG TU'!J263,3)='CPSXKD 642_yếu tố'!$H$7,'CHUNG TU'!$L263,0)</f>
        <v>0</v>
      </c>
      <c r="Q272" s="213">
        <f>IF(P272&lt;&gt;0,'CHUNG TU'!I263,"")</f>
      </c>
    </row>
    <row r="273" spans="2:17" ht="12.75">
      <c r="B273" s="213" t="str">
        <f>IF($F273+$P273&lt;&gt;0,'CHUNG TU'!A264,"")</f>
        <v>30/10/2020</v>
      </c>
      <c r="C273" s="213" t="str">
        <f>IF($F273+$P273&lt;&gt;0,IF('CHUNG TU'!B264&lt;&gt;"",'CHUNG TU'!B264,IF('CHUNG TU'!C264&lt;&gt;"",'CHUNG TU'!C264,'CHUNG TU'!D264)),"")</f>
        <v>PKT10/098</v>
      </c>
      <c r="D273" s="213" t="str">
        <f>IF($F273+$P273&lt;&gt;0,'CHUNG TU'!F264,"")</f>
        <v>30/10/2020</v>
      </c>
      <c r="E273" s="213" t="str">
        <f>IF($F273+$P273&lt;&gt;0,'CHUNG TU'!H264,"")</f>
        <v>Trích BHYT của nhân viên bộ phận QLDN</v>
      </c>
      <c r="F273" s="213">
        <f>IF(LEFT('CHUNG TU'!I264,3)='CPSXKD 642_yếu tố'!$H$7,'CHUNG TU'!$L264,0)</f>
        <v>2466000</v>
      </c>
      <c r="G273" s="213">
        <f>IF(G$10='CHUNG TU'!$I264,'CHUNG TU'!$L264,0)</f>
        <v>2466000</v>
      </c>
      <c r="H273" s="213">
        <f>IF(H$10='CHUNG TU'!$I264,'CHUNG TU'!$L264,0)</f>
        <v>0</v>
      </c>
      <c r="I273" s="213">
        <f>IF(I$10='CHUNG TU'!$I264,'CHUNG TU'!$L264,0)</f>
        <v>0</v>
      </c>
      <c r="J273" s="213">
        <f>IF(J$10='CHUNG TU'!$I264,'CHUNG TU'!$L264,0)</f>
        <v>0</v>
      </c>
      <c r="K273" s="213">
        <f>IF(K$10='CHUNG TU'!$I264,'CHUNG TU'!$L264,0)</f>
        <v>0</v>
      </c>
      <c r="L273" s="213">
        <f>IF(L$10='CHUNG TU'!$I264,'CHUNG TU'!$L264,0)</f>
        <v>0</v>
      </c>
      <c r="M273" s="213">
        <f>IF(M$10='CHUNG TU'!$I264,'CHUNG TU'!$L264,0)</f>
        <v>0</v>
      </c>
      <c r="N273" s="213">
        <f>IF(N$10='CHUNG TU'!$I264,'CHUNG TU'!$L264,0)</f>
        <v>0</v>
      </c>
      <c r="O273" s="213" t="str">
        <f>IF(F273&lt;&gt;0,'CHUNG TU'!J264,"")</f>
        <v>3384</v>
      </c>
      <c r="P273" s="213">
        <f>IF(LEFT('CHUNG TU'!J264,3)='CPSXKD 642_yếu tố'!$H$7,'CHUNG TU'!$L264,0)</f>
        <v>0</v>
      </c>
      <c r="Q273" s="213">
        <f>IF(P273&lt;&gt;0,'CHUNG TU'!I264,"")</f>
      </c>
    </row>
    <row r="274" spans="2:17" ht="12.75">
      <c r="B274" s="213">
        <f>IF($F274+$P274&lt;&gt;0,'CHUNG TU'!A265,"")</f>
      </c>
      <c r="C274" s="213">
        <f>IF($F274+$P274&lt;&gt;0,IF('CHUNG TU'!B265&lt;&gt;"",'CHUNG TU'!B265,IF('CHUNG TU'!C265&lt;&gt;"",'CHUNG TU'!C265,'CHUNG TU'!D265)),"")</f>
      </c>
      <c r="D274" s="213">
        <f>IF($F274+$P274&lt;&gt;0,'CHUNG TU'!F265,"")</f>
      </c>
      <c r="E274" s="213">
        <f>IF($F274+$P274&lt;&gt;0,'CHUNG TU'!H265,"")</f>
      </c>
      <c r="F274" s="213">
        <f>IF(LEFT('CHUNG TU'!I265,3)='CPSXKD 642_yếu tố'!$H$7,'CHUNG TU'!$L265,0)</f>
        <v>0</v>
      </c>
      <c r="G274" s="213">
        <f>IF(G$10='CHUNG TU'!$I265,'CHUNG TU'!$L265,0)</f>
        <v>0</v>
      </c>
      <c r="H274" s="213">
        <f>IF(H$10='CHUNG TU'!$I265,'CHUNG TU'!$L265,0)</f>
        <v>0</v>
      </c>
      <c r="I274" s="213">
        <f>IF(I$10='CHUNG TU'!$I265,'CHUNG TU'!$L265,0)</f>
        <v>0</v>
      </c>
      <c r="J274" s="213">
        <f>IF(J$10='CHUNG TU'!$I265,'CHUNG TU'!$L265,0)</f>
        <v>0</v>
      </c>
      <c r="K274" s="213">
        <f>IF(K$10='CHUNG TU'!$I265,'CHUNG TU'!$L265,0)</f>
        <v>0</v>
      </c>
      <c r="L274" s="213">
        <f>IF(L$10='CHUNG TU'!$I265,'CHUNG TU'!$L265,0)</f>
        <v>0</v>
      </c>
      <c r="M274" s="213">
        <f>IF(M$10='CHUNG TU'!$I265,'CHUNG TU'!$L265,0)</f>
        <v>0</v>
      </c>
      <c r="N274" s="213">
        <f>IF(N$10='CHUNG TU'!$I265,'CHUNG TU'!$L265,0)</f>
        <v>0</v>
      </c>
      <c r="O274" s="213">
        <f>IF(F274&lt;&gt;0,'CHUNG TU'!J265,"")</f>
      </c>
      <c r="P274" s="213">
        <f>IF(LEFT('CHUNG TU'!J265,3)='CPSXKD 642_yếu tố'!$H$7,'CHUNG TU'!$L265,0)</f>
        <v>0</v>
      </c>
      <c r="Q274" s="213">
        <f>IF(P274&lt;&gt;0,'CHUNG TU'!I265,"")</f>
      </c>
    </row>
    <row r="275" spans="2:17" ht="12.75">
      <c r="B275" s="213">
        <f>IF($F275+$P275&lt;&gt;0,'CHUNG TU'!A266,"")</f>
      </c>
      <c r="C275" s="213">
        <f>IF($F275+$P275&lt;&gt;0,IF('CHUNG TU'!B266&lt;&gt;"",'CHUNG TU'!B266,IF('CHUNG TU'!C266&lt;&gt;"",'CHUNG TU'!C266,'CHUNG TU'!D266)),"")</f>
      </c>
      <c r="D275" s="213">
        <f>IF($F275+$P275&lt;&gt;0,'CHUNG TU'!F266,"")</f>
      </c>
      <c r="E275" s="213">
        <f>IF($F275+$P275&lt;&gt;0,'CHUNG TU'!H266,"")</f>
      </c>
      <c r="F275" s="213">
        <f>IF(LEFT('CHUNG TU'!I266,3)='CPSXKD 642_yếu tố'!$H$7,'CHUNG TU'!$L266,0)</f>
        <v>0</v>
      </c>
      <c r="G275" s="213">
        <f>IF(G$10='CHUNG TU'!$I266,'CHUNG TU'!$L266,0)</f>
        <v>0</v>
      </c>
      <c r="H275" s="213">
        <f>IF(H$10='CHUNG TU'!$I266,'CHUNG TU'!$L266,0)</f>
        <v>0</v>
      </c>
      <c r="I275" s="213">
        <f>IF(I$10='CHUNG TU'!$I266,'CHUNG TU'!$L266,0)</f>
        <v>0</v>
      </c>
      <c r="J275" s="213">
        <f>IF(J$10='CHUNG TU'!$I266,'CHUNG TU'!$L266,0)</f>
        <v>0</v>
      </c>
      <c r="K275" s="213">
        <f>IF(K$10='CHUNG TU'!$I266,'CHUNG TU'!$L266,0)</f>
        <v>0</v>
      </c>
      <c r="L275" s="213">
        <f>IF(L$10='CHUNG TU'!$I266,'CHUNG TU'!$L266,0)</f>
        <v>0</v>
      </c>
      <c r="M275" s="213">
        <f>IF(M$10='CHUNG TU'!$I266,'CHUNG TU'!$L266,0)</f>
        <v>0</v>
      </c>
      <c r="N275" s="213">
        <f>IF(N$10='CHUNG TU'!$I266,'CHUNG TU'!$L266,0)</f>
        <v>0</v>
      </c>
      <c r="O275" s="213">
        <f>IF(F275&lt;&gt;0,'CHUNG TU'!J266,"")</f>
      </c>
      <c r="P275" s="213">
        <f>IF(LEFT('CHUNG TU'!J266,3)='CPSXKD 642_yếu tố'!$H$7,'CHUNG TU'!$L266,0)</f>
        <v>0</v>
      </c>
      <c r="Q275" s="213">
        <f>IF(P275&lt;&gt;0,'CHUNG TU'!I266,"")</f>
      </c>
    </row>
    <row r="276" spans="2:17" ht="12.75">
      <c r="B276" s="213">
        <f>IF($F276+$P276&lt;&gt;0,'CHUNG TU'!A267,"")</f>
      </c>
      <c r="C276" s="213">
        <f>IF($F276+$P276&lt;&gt;0,IF('CHUNG TU'!B267&lt;&gt;"",'CHUNG TU'!B267,IF('CHUNG TU'!C267&lt;&gt;"",'CHUNG TU'!C267,'CHUNG TU'!D267)),"")</f>
      </c>
      <c r="D276" s="213">
        <f>IF($F276+$P276&lt;&gt;0,'CHUNG TU'!F267,"")</f>
      </c>
      <c r="E276" s="213">
        <f>IF($F276+$P276&lt;&gt;0,'CHUNG TU'!H267,"")</f>
      </c>
      <c r="F276" s="213">
        <f>IF(LEFT('CHUNG TU'!I267,3)='CPSXKD 642_yếu tố'!$H$7,'CHUNG TU'!$L267,0)</f>
        <v>0</v>
      </c>
      <c r="G276" s="213">
        <f>IF(G$10='CHUNG TU'!$I267,'CHUNG TU'!$L267,0)</f>
        <v>0</v>
      </c>
      <c r="H276" s="213">
        <f>IF(H$10='CHUNG TU'!$I267,'CHUNG TU'!$L267,0)</f>
        <v>0</v>
      </c>
      <c r="I276" s="213">
        <f>IF(I$10='CHUNG TU'!$I267,'CHUNG TU'!$L267,0)</f>
        <v>0</v>
      </c>
      <c r="J276" s="213">
        <f>IF(J$10='CHUNG TU'!$I267,'CHUNG TU'!$L267,0)</f>
        <v>0</v>
      </c>
      <c r="K276" s="213">
        <f>IF(K$10='CHUNG TU'!$I267,'CHUNG TU'!$L267,0)</f>
        <v>0</v>
      </c>
      <c r="L276" s="213">
        <f>IF(L$10='CHUNG TU'!$I267,'CHUNG TU'!$L267,0)</f>
        <v>0</v>
      </c>
      <c r="M276" s="213">
        <f>IF(M$10='CHUNG TU'!$I267,'CHUNG TU'!$L267,0)</f>
        <v>0</v>
      </c>
      <c r="N276" s="213">
        <f>IF(N$10='CHUNG TU'!$I267,'CHUNG TU'!$L267,0)</f>
        <v>0</v>
      </c>
      <c r="O276" s="213">
        <f>IF(F276&lt;&gt;0,'CHUNG TU'!J267,"")</f>
      </c>
      <c r="P276" s="213">
        <f>IF(LEFT('CHUNG TU'!J267,3)='CPSXKD 642_yếu tố'!$H$7,'CHUNG TU'!$L267,0)</f>
        <v>0</v>
      </c>
      <c r="Q276" s="213">
        <f>IF(P276&lt;&gt;0,'CHUNG TU'!I267,"")</f>
      </c>
    </row>
    <row r="277" spans="2:17" ht="12.75">
      <c r="B277" s="213">
        <f>IF($F277+$P277&lt;&gt;0,'CHUNG TU'!A268,"")</f>
      </c>
      <c r="C277" s="213">
        <f>IF($F277+$P277&lt;&gt;0,IF('CHUNG TU'!B268&lt;&gt;"",'CHUNG TU'!B268,IF('CHUNG TU'!C268&lt;&gt;"",'CHUNG TU'!C268,'CHUNG TU'!D268)),"")</f>
      </c>
      <c r="D277" s="213">
        <f>IF($F277+$P277&lt;&gt;0,'CHUNG TU'!F268,"")</f>
      </c>
      <c r="E277" s="213">
        <f>IF($F277+$P277&lt;&gt;0,'CHUNG TU'!H268,"")</f>
      </c>
      <c r="F277" s="213">
        <f>IF(LEFT('CHUNG TU'!I268,3)='CPSXKD 642_yếu tố'!$H$7,'CHUNG TU'!$L268,0)</f>
        <v>0</v>
      </c>
      <c r="G277" s="213">
        <f>IF(G$10='CHUNG TU'!$I268,'CHUNG TU'!$L268,0)</f>
        <v>0</v>
      </c>
      <c r="H277" s="213">
        <f>IF(H$10='CHUNG TU'!$I268,'CHUNG TU'!$L268,0)</f>
        <v>0</v>
      </c>
      <c r="I277" s="213">
        <f>IF(I$10='CHUNG TU'!$I268,'CHUNG TU'!$L268,0)</f>
        <v>0</v>
      </c>
      <c r="J277" s="213">
        <f>IF(J$10='CHUNG TU'!$I268,'CHUNG TU'!$L268,0)</f>
        <v>0</v>
      </c>
      <c r="K277" s="213">
        <f>IF(K$10='CHUNG TU'!$I268,'CHUNG TU'!$L268,0)</f>
        <v>0</v>
      </c>
      <c r="L277" s="213">
        <f>IF(L$10='CHUNG TU'!$I268,'CHUNG TU'!$L268,0)</f>
        <v>0</v>
      </c>
      <c r="M277" s="213">
        <f>IF(M$10='CHUNG TU'!$I268,'CHUNG TU'!$L268,0)</f>
        <v>0</v>
      </c>
      <c r="N277" s="213">
        <f>IF(N$10='CHUNG TU'!$I268,'CHUNG TU'!$L268,0)</f>
        <v>0</v>
      </c>
      <c r="O277" s="213">
        <f>IF(F277&lt;&gt;0,'CHUNG TU'!J268,"")</f>
      </c>
      <c r="P277" s="213">
        <f>IF(LEFT('CHUNG TU'!J268,3)='CPSXKD 642_yếu tố'!$H$7,'CHUNG TU'!$L268,0)</f>
        <v>0</v>
      </c>
      <c r="Q277" s="213">
        <f>IF(P277&lt;&gt;0,'CHUNG TU'!I268,"")</f>
      </c>
    </row>
    <row r="278" spans="2:17" ht="12.75">
      <c r="B278" s="213">
        <f>IF($F278+$P278&lt;&gt;0,'CHUNG TU'!A269,"")</f>
      </c>
      <c r="C278" s="213">
        <f>IF($F278+$P278&lt;&gt;0,IF('CHUNG TU'!B269&lt;&gt;"",'CHUNG TU'!B269,IF('CHUNG TU'!C269&lt;&gt;"",'CHUNG TU'!C269,'CHUNG TU'!D269)),"")</f>
      </c>
      <c r="D278" s="213">
        <f>IF($F278+$P278&lt;&gt;0,'CHUNG TU'!F269,"")</f>
      </c>
      <c r="E278" s="213">
        <f>IF($F278+$P278&lt;&gt;0,'CHUNG TU'!H269,"")</f>
      </c>
      <c r="F278" s="213">
        <f>IF(LEFT('CHUNG TU'!I269,3)='CPSXKD 642_yếu tố'!$H$7,'CHUNG TU'!$L269,0)</f>
        <v>0</v>
      </c>
      <c r="G278" s="213">
        <f>IF(G$10='CHUNG TU'!$I269,'CHUNG TU'!$L269,0)</f>
        <v>0</v>
      </c>
      <c r="H278" s="213">
        <f>IF(H$10='CHUNG TU'!$I269,'CHUNG TU'!$L269,0)</f>
        <v>0</v>
      </c>
      <c r="I278" s="213">
        <f>IF(I$10='CHUNG TU'!$I269,'CHUNG TU'!$L269,0)</f>
        <v>0</v>
      </c>
      <c r="J278" s="213">
        <f>IF(J$10='CHUNG TU'!$I269,'CHUNG TU'!$L269,0)</f>
        <v>0</v>
      </c>
      <c r="K278" s="213">
        <f>IF(K$10='CHUNG TU'!$I269,'CHUNG TU'!$L269,0)</f>
        <v>0</v>
      </c>
      <c r="L278" s="213">
        <f>IF(L$10='CHUNG TU'!$I269,'CHUNG TU'!$L269,0)</f>
        <v>0</v>
      </c>
      <c r="M278" s="213">
        <f>IF(M$10='CHUNG TU'!$I269,'CHUNG TU'!$L269,0)</f>
        <v>0</v>
      </c>
      <c r="N278" s="213">
        <f>IF(N$10='CHUNG TU'!$I269,'CHUNG TU'!$L269,0)</f>
        <v>0</v>
      </c>
      <c r="O278" s="213">
        <f>IF(F278&lt;&gt;0,'CHUNG TU'!J269,"")</f>
      </c>
      <c r="P278" s="213">
        <f>IF(LEFT('CHUNG TU'!J269,3)='CPSXKD 642_yếu tố'!$H$7,'CHUNG TU'!$L269,0)</f>
        <v>0</v>
      </c>
      <c r="Q278" s="213">
        <f>IF(P278&lt;&gt;0,'CHUNG TU'!I269,"")</f>
      </c>
    </row>
    <row r="279" spans="2:17" ht="12.75">
      <c r="B279" s="213">
        <f>IF($F279+$P279&lt;&gt;0,'CHUNG TU'!A270,"")</f>
      </c>
      <c r="C279" s="213">
        <f>IF($F279+$P279&lt;&gt;0,IF('CHUNG TU'!B270&lt;&gt;"",'CHUNG TU'!B270,IF('CHUNG TU'!C270&lt;&gt;"",'CHUNG TU'!C270,'CHUNG TU'!D270)),"")</f>
      </c>
      <c r="D279" s="213">
        <f>IF($F279+$P279&lt;&gt;0,'CHUNG TU'!F270,"")</f>
      </c>
      <c r="E279" s="213">
        <f>IF($F279+$P279&lt;&gt;0,'CHUNG TU'!H270,"")</f>
      </c>
      <c r="F279" s="213">
        <f>IF(LEFT('CHUNG TU'!I270,3)='CPSXKD 642_yếu tố'!$H$7,'CHUNG TU'!$L270,0)</f>
        <v>0</v>
      </c>
      <c r="G279" s="213">
        <f>IF(G$10='CHUNG TU'!$I270,'CHUNG TU'!$L270,0)</f>
        <v>0</v>
      </c>
      <c r="H279" s="213">
        <f>IF(H$10='CHUNG TU'!$I270,'CHUNG TU'!$L270,0)</f>
        <v>0</v>
      </c>
      <c r="I279" s="213">
        <f>IF(I$10='CHUNG TU'!$I270,'CHUNG TU'!$L270,0)</f>
        <v>0</v>
      </c>
      <c r="J279" s="213">
        <f>IF(J$10='CHUNG TU'!$I270,'CHUNG TU'!$L270,0)</f>
        <v>0</v>
      </c>
      <c r="K279" s="213">
        <f>IF(K$10='CHUNG TU'!$I270,'CHUNG TU'!$L270,0)</f>
        <v>0</v>
      </c>
      <c r="L279" s="213">
        <f>IF(L$10='CHUNG TU'!$I270,'CHUNG TU'!$L270,0)</f>
        <v>0</v>
      </c>
      <c r="M279" s="213">
        <f>IF(M$10='CHUNG TU'!$I270,'CHUNG TU'!$L270,0)</f>
        <v>0</v>
      </c>
      <c r="N279" s="213">
        <f>IF(N$10='CHUNG TU'!$I270,'CHUNG TU'!$L270,0)</f>
        <v>0</v>
      </c>
      <c r="O279" s="213">
        <f>IF(F279&lt;&gt;0,'CHUNG TU'!J270,"")</f>
      </c>
      <c r="P279" s="213">
        <f>IF(LEFT('CHUNG TU'!J270,3)='CPSXKD 642_yếu tố'!$H$7,'CHUNG TU'!$L270,0)</f>
        <v>0</v>
      </c>
      <c r="Q279" s="213">
        <f>IF(P279&lt;&gt;0,'CHUNG TU'!I270,"")</f>
      </c>
    </row>
    <row r="280" spans="2:17" ht="12.75">
      <c r="B280" s="213" t="str">
        <f>IF($F280+$P280&lt;&gt;0,'CHUNG TU'!A271,"")</f>
        <v>30/10/2020</v>
      </c>
      <c r="C280" s="213" t="str">
        <f>IF($F280+$P280&lt;&gt;0,IF('CHUNG TU'!B271&lt;&gt;"",'CHUNG TU'!B271,IF('CHUNG TU'!C271&lt;&gt;"",'CHUNG TU'!C271,'CHUNG TU'!D271)),"")</f>
        <v>PKT10/098</v>
      </c>
      <c r="D280" s="213" t="str">
        <f>IF($F280+$P280&lt;&gt;0,'CHUNG TU'!F271,"")</f>
        <v>30/10/2020</v>
      </c>
      <c r="E280" s="213" t="str">
        <f>IF($F280+$P280&lt;&gt;0,'CHUNG TU'!H271,"")</f>
        <v>Trích BHTN của nhân viên bộ phận QLDN</v>
      </c>
      <c r="F280" s="213">
        <f>IF(LEFT('CHUNG TU'!I271,3)='CPSXKD 642_yếu tố'!$H$7,'CHUNG TU'!$L271,0)</f>
        <v>822000</v>
      </c>
      <c r="G280" s="213">
        <f>IF(G$10='CHUNG TU'!$I271,'CHUNG TU'!$L271,0)</f>
        <v>822000</v>
      </c>
      <c r="H280" s="213">
        <f>IF(H$10='CHUNG TU'!$I271,'CHUNG TU'!$L271,0)</f>
        <v>0</v>
      </c>
      <c r="I280" s="213">
        <f>IF(I$10='CHUNG TU'!$I271,'CHUNG TU'!$L271,0)</f>
        <v>0</v>
      </c>
      <c r="J280" s="213">
        <f>IF(J$10='CHUNG TU'!$I271,'CHUNG TU'!$L271,0)</f>
        <v>0</v>
      </c>
      <c r="K280" s="213">
        <f>IF(K$10='CHUNG TU'!$I271,'CHUNG TU'!$L271,0)</f>
        <v>0</v>
      </c>
      <c r="L280" s="213">
        <f>IF(L$10='CHUNG TU'!$I271,'CHUNG TU'!$L271,0)</f>
        <v>0</v>
      </c>
      <c r="M280" s="213">
        <f>IF(M$10='CHUNG TU'!$I271,'CHUNG TU'!$L271,0)</f>
        <v>0</v>
      </c>
      <c r="N280" s="213">
        <f>IF(N$10='CHUNG TU'!$I271,'CHUNG TU'!$L271,0)</f>
        <v>0</v>
      </c>
      <c r="O280" s="213" t="str">
        <f>IF(F280&lt;&gt;0,'CHUNG TU'!J271,"")</f>
        <v>3386</v>
      </c>
      <c r="P280" s="213">
        <f>IF(LEFT('CHUNG TU'!J271,3)='CPSXKD 642_yếu tố'!$H$7,'CHUNG TU'!$L271,0)</f>
        <v>0</v>
      </c>
      <c r="Q280" s="213">
        <f>IF(P280&lt;&gt;0,'CHUNG TU'!I271,"")</f>
      </c>
    </row>
    <row r="281" spans="2:17" ht="12.75">
      <c r="B281" s="213">
        <f>IF($F281+$P281&lt;&gt;0,'CHUNG TU'!A272,"")</f>
      </c>
      <c r="C281" s="213">
        <f>IF($F281+$P281&lt;&gt;0,IF('CHUNG TU'!B272&lt;&gt;"",'CHUNG TU'!B272,IF('CHUNG TU'!C272&lt;&gt;"",'CHUNG TU'!C272,'CHUNG TU'!D272)),"")</f>
      </c>
      <c r="D281" s="213">
        <f>IF($F281+$P281&lt;&gt;0,'CHUNG TU'!F272,"")</f>
      </c>
      <c r="E281" s="213">
        <f>IF($F281+$P281&lt;&gt;0,'CHUNG TU'!H272,"")</f>
      </c>
      <c r="F281" s="213">
        <f>IF(LEFT('CHUNG TU'!I272,3)='CPSXKD 642_yếu tố'!$H$7,'CHUNG TU'!$L272,0)</f>
        <v>0</v>
      </c>
      <c r="G281" s="213">
        <f>IF(G$10='CHUNG TU'!$I272,'CHUNG TU'!$L272,0)</f>
        <v>0</v>
      </c>
      <c r="H281" s="213">
        <f>IF(H$10='CHUNG TU'!$I272,'CHUNG TU'!$L272,0)</f>
        <v>0</v>
      </c>
      <c r="I281" s="213">
        <f>IF(I$10='CHUNG TU'!$I272,'CHUNG TU'!$L272,0)</f>
        <v>0</v>
      </c>
      <c r="J281" s="213">
        <f>IF(J$10='CHUNG TU'!$I272,'CHUNG TU'!$L272,0)</f>
        <v>0</v>
      </c>
      <c r="K281" s="213">
        <f>IF(K$10='CHUNG TU'!$I272,'CHUNG TU'!$L272,0)</f>
        <v>0</v>
      </c>
      <c r="L281" s="213">
        <f>IF(L$10='CHUNG TU'!$I272,'CHUNG TU'!$L272,0)</f>
        <v>0</v>
      </c>
      <c r="M281" s="213">
        <f>IF(M$10='CHUNG TU'!$I272,'CHUNG TU'!$L272,0)</f>
        <v>0</v>
      </c>
      <c r="N281" s="213">
        <f>IF(N$10='CHUNG TU'!$I272,'CHUNG TU'!$L272,0)</f>
        <v>0</v>
      </c>
      <c r="O281" s="213">
        <f>IF(F281&lt;&gt;0,'CHUNG TU'!J272,"")</f>
      </c>
      <c r="P281" s="213">
        <f>IF(LEFT('CHUNG TU'!J272,3)='CPSXKD 642_yếu tố'!$H$7,'CHUNG TU'!$L272,0)</f>
        <v>0</v>
      </c>
      <c r="Q281" s="213">
        <f>IF(P281&lt;&gt;0,'CHUNG TU'!I272,"")</f>
      </c>
    </row>
    <row r="282" spans="2:17" ht="12.75">
      <c r="B282" s="213">
        <f>IF($F282+$P282&lt;&gt;0,'CHUNG TU'!A273,"")</f>
      </c>
      <c r="C282" s="213">
        <f>IF($F282+$P282&lt;&gt;0,IF('CHUNG TU'!B273&lt;&gt;"",'CHUNG TU'!B273,IF('CHUNG TU'!C273&lt;&gt;"",'CHUNG TU'!C273,'CHUNG TU'!D273)),"")</f>
      </c>
      <c r="D282" s="213">
        <f>IF($F282+$P282&lt;&gt;0,'CHUNG TU'!F273,"")</f>
      </c>
      <c r="E282" s="213">
        <f>IF($F282+$P282&lt;&gt;0,'CHUNG TU'!H273,"")</f>
      </c>
      <c r="F282" s="213">
        <f>IF(LEFT('CHUNG TU'!I273,3)='CPSXKD 642_yếu tố'!$H$7,'CHUNG TU'!$L273,0)</f>
        <v>0</v>
      </c>
      <c r="G282" s="213">
        <f>IF(G$10='CHUNG TU'!$I273,'CHUNG TU'!$L273,0)</f>
        <v>0</v>
      </c>
      <c r="H282" s="213">
        <f>IF(H$10='CHUNG TU'!$I273,'CHUNG TU'!$L273,0)</f>
        <v>0</v>
      </c>
      <c r="I282" s="213">
        <f>IF(I$10='CHUNG TU'!$I273,'CHUNG TU'!$L273,0)</f>
        <v>0</v>
      </c>
      <c r="J282" s="213">
        <f>IF(J$10='CHUNG TU'!$I273,'CHUNG TU'!$L273,0)</f>
        <v>0</v>
      </c>
      <c r="K282" s="213">
        <f>IF(K$10='CHUNG TU'!$I273,'CHUNG TU'!$L273,0)</f>
        <v>0</v>
      </c>
      <c r="L282" s="213">
        <f>IF(L$10='CHUNG TU'!$I273,'CHUNG TU'!$L273,0)</f>
        <v>0</v>
      </c>
      <c r="M282" s="213">
        <f>IF(M$10='CHUNG TU'!$I273,'CHUNG TU'!$L273,0)</f>
        <v>0</v>
      </c>
      <c r="N282" s="213">
        <f>IF(N$10='CHUNG TU'!$I273,'CHUNG TU'!$L273,0)</f>
        <v>0</v>
      </c>
      <c r="O282" s="213">
        <f>IF(F282&lt;&gt;0,'CHUNG TU'!J273,"")</f>
      </c>
      <c r="P282" s="213">
        <f>IF(LEFT('CHUNG TU'!J273,3)='CPSXKD 642_yếu tố'!$H$7,'CHUNG TU'!$L273,0)</f>
        <v>0</v>
      </c>
      <c r="Q282" s="213">
        <f>IF(P282&lt;&gt;0,'CHUNG TU'!I273,"")</f>
      </c>
    </row>
    <row r="283" spans="2:17" ht="12.75">
      <c r="B283" s="213">
        <f>IF($F283+$P283&lt;&gt;0,'CHUNG TU'!A274,"")</f>
      </c>
      <c r="C283" s="213">
        <f>IF($F283+$P283&lt;&gt;0,IF('CHUNG TU'!B274&lt;&gt;"",'CHUNG TU'!B274,IF('CHUNG TU'!C274&lt;&gt;"",'CHUNG TU'!C274,'CHUNG TU'!D274)),"")</f>
      </c>
      <c r="D283" s="213">
        <f>IF($F283+$P283&lt;&gt;0,'CHUNG TU'!F274,"")</f>
      </c>
      <c r="E283" s="213">
        <f>IF($F283+$P283&lt;&gt;0,'CHUNG TU'!H274,"")</f>
      </c>
      <c r="F283" s="213">
        <f>IF(LEFT('CHUNG TU'!I274,3)='CPSXKD 642_yếu tố'!$H$7,'CHUNG TU'!$L274,0)</f>
        <v>0</v>
      </c>
      <c r="G283" s="213">
        <f>IF(G$10='CHUNG TU'!$I274,'CHUNG TU'!$L274,0)</f>
        <v>0</v>
      </c>
      <c r="H283" s="213">
        <f>IF(H$10='CHUNG TU'!$I274,'CHUNG TU'!$L274,0)</f>
        <v>0</v>
      </c>
      <c r="I283" s="213">
        <f>IF(I$10='CHUNG TU'!$I274,'CHUNG TU'!$L274,0)</f>
        <v>0</v>
      </c>
      <c r="J283" s="213">
        <f>IF(J$10='CHUNG TU'!$I274,'CHUNG TU'!$L274,0)</f>
        <v>0</v>
      </c>
      <c r="K283" s="213">
        <f>IF(K$10='CHUNG TU'!$I274,'CHUNG TU'!$L274,0)</f>
        <v>0</v>
      </c>
      <c r="L283" s="213">
        <f>IF(L$10='CHUNG TU'!$I274,'CHUNG TU'!$L274,0)</f>
        <v>0</v>
      </c>
      <c r="M283" s="213">
        <f>IF(M$10='CHUNG TU'!$I274,'CHUNG TU'!$L274,0)</f>
        <v>0</v>
      </c>
      <c r="N283" s="213">
        <f>IF(N$10='CHUNG TU'!$I274,'CHUNG TU'!$L274,0)</f>
        <v>0</v>
      </c>
      <c r="O283" s="213">
        <f>IF(F283&lt;&gt;0,'CHUNG TU'!J274,"")</f>
      </c>
      <c r="P283" s="213">
        <f>IF(LEFT('CHUNG TU'!J274,3)='CPSXKD 642_yếu tố'!$H$7,'CHUNG TU'!$L274,0)</f>
        <v>0</v>
      </c>
      <c r="Q283" s="213">
        <f>IF(P283&lt;&gt;0,'CHUNG TU'!I274,"")</f>
      </c>
    </row>
    <row r="284" spans="2:17" ht="12.75">
      <c r="B284" s="213">
        <f>IF($F284+$P284&lt;&gt;0,'CHUNG TU'!A275,"")</f>
      </c>
      <c r="C284" s="213">
        <f>IF($F284+$P284&lt;&gt;0,IF('CHUNG TU'!B275&lt;&gt;"",'CHUNG TU'!B275,IF('CHUNG TU'!C275&lt;&gt;"",'CHUNG TU'!C275,'CHUNG TU'!D275)),"")</f>
      </c>
      <c r="D284" s="213">
        <f>IF($F284+$P284&lt;&gt;0,'CHUNG TU'!F275,"")</f>
      </c>
      <c r="E284" s="213">
        <f>IF($F284+$P284&lt;&gt;0,'CHUNG TU'!H275,"")</f>
      </c>
      <c r="F284" s="213">
        <f>IF(LEFT('CHUNG TU'!I275,3)='CPSXKD 642_yếu tố'!$H$7,'CHUNG TU'!$L275,0)</f>
        <v>0</v>
      </c>
      <c r="G284" s="213">
        <f>IF(G$10='CHUNG TU'!$I275,'CHUNG TU'!$L275,0)</f>
        <v>0</v>
      </c>
      <c r="H284" s="213">
        <f>IF(H$10='CHUNG TU'!$I275,'CHUNG TU'!$L275,0)</f>
        <v>0</v>
      </c>
      <c r="I284" s="213">
        <f>IF(I$10='CHUNG TU'!$I275,'CHUNG TU'!$L275,0)</f>
        <v>0</v>
      </c>
      <c r="J284" s="213">
        <f>IF(J$10='CHUNG TU'!$I275,'CHUNG TU'!$L275,0)</f>
        <v>0</v>
      </c>
      <c r="K284" s="213">
        <f>IF(K$10='CHUNG TU'!$I275,'CHUNG TU'!$L275,0)</f>
        <v>0</v>
      </c>
      <c r="L284" s="213">
        <f>IF(L$10='CHUNG TU'!$I275,'CHUNG TU'!$L275,0)</f>
        <v>0</v>
      </c>
      <c r="M284" s="213">
        <f>IF(M$10='CHUNG TU'!$I275,'CHUNG TU'!$L275,0)</f>
        <v>0</v>
      </c>
      <c r="N284" s="213">
        <f>IF(N$10='CHUNG TU'!$I275,'CHUNG TU'!$L275,0)</f>
        <v>0</v>
      </c>
      <c r="O284" s="213">
        <f>IF(F284&lt;&gt;0,'CHUNG TU'!J275,"")</f>
      </c>
      <c r="P284" s="213">
        <f>IF(LEFT('CHUNG TU'!J275,3)='CPSXKD 642_yếu tố'!$H$7,'CHUNG TU'!$L275,0)</f>
        <v>0</v>
      </c>
      <c r="Q284" s="213">
        <f>IF(P284&lt;&gt;0,'CHUNG TU'!I275,"")</f>
      </c>
    </row>
    <row r="285" spans="2:17" ht="12.75">
      <c r="B285" s="213">
        <f>IF($F285+$P285&lt;&gt;0,'CHUNG TU'!A276,"")</f>
      </c>
      <c r="C285" s="213">
        <f>IF($F285+$P285&lt;&gt;0,IF('CHUNG TU'!B276&lt;&gt;"",'CHUNG TU'!B276,IF('CHUNG TU'!C276&lt;&gt;"",'CHUNG TU'!C276,'CHUNG TU'!D276)),"")</f>
      </c>
      <c r="D285" s="213">
        <f>IF($F285+$P285&lt;&gt;0,'CHUNG TU'!F276,"")</f>
      </c>
      <c r="E285" s="213">
        <f>IF($F285+$P285&lt;&gt;0,'CHUNG TU'!H276,"")</f>
      </c>
      <c r="F285" s="213">
        <f>IF(LEFT('CHUNG TU'!I276,3)='CPSXKD 642_yếu tố'!$H$7,'CHUNG TU'!$L276,0)</f>
        <v>0</v>
      </c>
      <c r="G285" s="213">
        <f>IF(G$10='CHUNG TU'!$I276,'CHUNG TU'!$L276,0)</f>
        <v>0</v>
      </c>
      <c r="H285" s="213">
        <f>IF(H$10='CHUNG TU'!$I276,'CHUNG TU'!$L276,0)</f>
        <v>0</v>
      </c>
      <c r="I285" s="213">
        <f>IF(I$10='CHUNG TU'!$I276,'CHUNG TU'!$L276,0)</f>
        <v>0</v>
      </c>
      <c r="J285" s="213">
        <f>IF(J$10='CHUNG TU'!$I276,'CHUNG TU'!$L276,0)</f>
        <v>0</v>
      </c>
      <c r="K285" s="213">
        <f>IF(K$10='CHUNG TU'!$I276,'CHUNG TU'!$L276,0)</f>
        <v>0</v>
      </c>
      <c r="L285" s="213">
        <f>IF(L$10='CHUNG TU'!$I276,'CHUNG TU'!$L276,0)</f>
        <v>0</v>
      </c>
      <c r="M285" s="213">
        <f>IF(M$10='CHUNG TU'!$I276,'CHUNG TU'!$L276,0)</f>
        <v>0</v>
      </c>
      <c r="N285" s="213">
        <f>IF(N$10='CHUNG TU'!$I276,'CHUNG TU'!$L276,0)</f>
        <v>0</v>
      </c>
      <c r="O285" s="213">
        <f>IF(F285&lt;&gt;0,'CHUNG TU'!J276,"")</f>
      </c>
      <c r="P285" s="213">
        <f>IF(LEFT('CHUNG TU'!J276,3)='CPSXKD 642_yếu tố'!$H$7,'CHUNG TU'!$L276,0)</f>
        <v>0</v>
      </c>
      <c r="Q285" s="213">
        <f>IF(P285&lt;&gt;0,'CHUNG TU'!I276,"")</f>
      </c>
    </row>
    <row r="286" spans="2:17" ht="12.75">
      <c r="B286" s="213">
        <f>IF($F286+$P286&lt;&gt;0,'CHUNG TU'!A277,"")</f>
      </c>
      <c r="C286" s="213">
        <f>IF($F286+$P286&lt;&gt;0,IF('CHUNG TU'!B277&lt;&gt;"",'CHUNG TU'!B277,IF('CHUNG TU'!C277&lt;&gt;"",'CHUNG TU'!C277,'CHUNG TU'!D277)),"")</f>
      </c>
      <c r="D286" s="213">
        <f>IF($F286+$P286&lt;&gt;0,'CHUNG TU'!F277,"")</f>
      </c>
      <c r="E286" s="213">
        <f>IF($F286+$P286&lt;&gt;0,'CHUNG TU'!H277,"")</f>
      </c>
      <c r="F286" s="213">
        <f>IF(LEFT('CHUNG TU'!I277,3)='CPSXKD 642_yếu tố'!$H$7,'CHUNG TU'!$L277,0)</f>
        <v>0</v>
      </c>
      <c r="G286" s="213">
        <f>IF(G$10='CHUNG TU'!$I277,'CHUNG TU'!$L277,0)</f>
        <v>0</v>
      </c>
      <c r="H286" s="213">
        <f>IF(H$10='CHUNG TU'!$I277,'CHUNG TU'!$L277,0)</f>
        <v>0</v>
      </c>
      <c r="I286" s="213">
        <f>IF(I$10='CHUNG TU'!$I277,'CHUNG TU'!$L277,0)</f>
        <v>0</v>
      </c>
      <c r="J286" s="213">
        <f>IF(J$10='CHUNG TU'!$I277,'CHUNG TU'!$L277,0)</f>
        <v>0</v>
      </c>
      <c r="K286" s="213">
        <f>IF(K$10='CHUNG TU'!$I277,'CHUNG TU'!$L277,0)</f>
        <v>0</v>
      </c>
      <c r="L286" s="213">
        <f>IF(L$10='CHUNG TU'!$I277,'CHUNG TU'!$L277,0)</f>
        <v>0</v>
      </c>
      <c r="M286" s="213">
        <f>IF(M$10='CHUNG TU'!$I277,'CHUNG TU'!$L277,0)</f>
        <v>0</v>
      </c>
      <c r="N286" s="213">
        <f>IF(N$10='CHUNG TU'!$I277,'CHUNG TU'!$L277,0)</f>
        <v>0</v>
      </c>
      <c r="O286" s="213">
        <f>IF(F286&lt;&gt;0,'CHUNG TU'!J277,"")</f>
      </c>
      <c r="P286" s="213">
        <f>IF(LEFT('CHUNG TU'!J277,3)='CPSXKD 642_yếu tố'!$H$7,'CHUNG TU'!$L277,0)</f>
        <v>0</v>
      </c>
      <c r="Q286" s="213">
        <f>IF(P286&lt;&gt;0,'CHUNG TU'!I277,"")</f>
      </c>
    </row>
    <row r="287" spans="2:17" ht="12.75">
      <c r="B287" s="213">
        <f>IF($F287+$P287&lt;&gt;0,'CHUNG TU'!A278,"")</f>
      </c>
      <c r="C287" s="213">
        <f>IF($F287+$P287&lt;&gt;0,IF('CHUNG TU'!B278&lt;&gt;"",'CHUNG TU'!B278,IF('CHUNG TU'!C278&lt;&gt;"",'CHUNG TU'!C278,'CHUNG TU'!D278)),"")</f>
      </c>
      <c r="D287" s="213">
        <f>IF($F287+$P287&lt;&gt;0,'CHUNG TU'!F278,"")</f>
      </c>
      <c r="E287" s="213">
        <f>IF($F287+$P287&lt;&gt;0,'CHUNG TU'!H278,"")</f>
      </c>
      <c r="F287" s="213">
        <f>IF(LEFT('CHUNG TU'!I278,3)='CPSXKD 642_yếu tố'!$H$7,'CHUNG TU'!$L278,0)</f>
        <v>0</v>
      </c>
      <c r="G287" s="213">
        <f>IF(G$10='CHUNG TU'!$I278,'CHUNG TU'!$L278,0)</f>
        <v>0</v>
      </c>
      <c r="H287" s="213">
        <f>IF(H$10='CHUNG TU'!$I278,'CHUNG TU'!$L278,0)</f>
        <v>0</v>
      </c>
      <c r="I287" s="213">
        <f>IF(I$10='CHUNG TU'!$I278,'CHUNG TU'!$L278,0)</f>
        <v>0</v>
      </c>
      <c r="J287" s="213">
        <f>IF(J$10='CHUNG TU'!$I278,'CHUNG TU'!$L278,0)</f>
        <v>0</v>
      </c>
      <c r="K287" s="213">
        <f>IF(K$10='CHUNG TU'!$I278,'CHUNG TU'!$L278,0)</f>
        <v>0</v>
      </c>
      <c r="L287" s="213">
        <f>IF(L$10='CHUNG TU'!$I278,'CHUNG TU'!$L278,0)</f>
        <v>0</v>
      </c>
      <c r="M287" s="213">
        <f>IF(M$10='CHUNG TU'!$I278,'CHUNG TU'!$L278,0)</f>
        <v>0</v>
      </c>
      <c r="N287" s="213">
        <f>IF(N$10='CHUNG TU'!$I278,'CHUNG TU'!$L278,0)</f>
        <v>0</v>
      </c>
      <c r="O287" s="213">
        <f>IF(F287&lt;&gt;0,'CHUNG TU'!J278,"")</f>
      </c>
      <c r="P287" s="213">
        <f>IF(LEFT('CHUNG TU'!J278,3)='CPSXKD 642_yếu tố'!$H$7,'CHUNG TU'!$L278,0)</f>
        <v>0</v>
      </c>
      <c r="Q287" s="213">
        <f>IF(P287&lt;&gt;0,'CHUNG TU'!I278,"")</f>
      </c>
    </row>
    <row r="288" spans="2:17" ht="12.75">
      <c r="B288" s="213" t="str">
        <f>IF($F288+$P288&lt;&gt;0,'CHUNG TU'!A279,"")</f>
        <v>30/10/2020</v>
      </c>
      <c r="C288" s="213" t="str">
        <f>IF($F288+$P288&lt;&gt;0,IF('CHUNG TU'!B279&lt;&gt;"",'CHUNG TU'!B279,IF('CHUNG TU'!C279&lt;&gt;"",'CHUNG TU'!C279,'CHUNG TU'!D279)),"")</f>
        <v>PKT10/099</v>
      </c>
      <c r="D288" s="213" t="str">
        <f>IF($F288+$P288&lt;&gt;0,'CHUNG TU'!F279,"")</f>
        <v>30/10/2020</v>
      </c>
      <c r="E288" s="213" t="str">
        <f>IF($F288+$P288&lt;&gt;0,'CHUNG TU'!H279,"")</f>
        <v>Trích khấu hao TSCĐ</v>
      </c>
      <c r="F288" s="213">
        <f>IF(LEFT('CHUNG TU'!I279,3)='CPSXKD 642_yếu tố'!$H$7,'CHUNG TU'!$L279,0)</f>
        <v>7868299.666666667</v>
      </c>
      <c r="G288" s="213">
        <f>IF(G$10='CHUNG TU'!$I279,'CHUNG TU'!$L279,0)</f>
        <v>0</v>
      </c>
      <c r="H288" s="213">
        <f>IF(H$10='CHUNG TU'!$I279,'CHUNG TU'!$L279,0)</f>
        <v>0</v>
      </c>
      <c r="I288" s="213">
        <f>IF(I$10='CHUNG TU'!$I279,'CHUNG TU'!$L279,0)</f>
        <v>0</v>
      </c>
      <c r="J288" s="213">
        <f>IF(J$10='CHUNG TU'!$I279,'CHUNG TU'!$L279,0)</f>
        <v>7868299.666666667</v>
      </c>
      <c r="K288" s="213">
        <f>IF(K$10='CHUNG TU'!$I279,'CHUNG TU'!$L279,0)</f>
        <v>0</v>
      </c>
      <c r="L288" s="213">
        <f>IF(L$10='CHUNG TU'!$I279,'CHUNG TU'!$L279,0)</f>
        <v>0</v>
      </c>
      <c r="M288" s="213">
        <f>IF(M$10='CHUNG TU'!$I279,'CHUNG TU'!$L279,0)</f>
        <v>0</v>
      </c>
      <c r="N288" s="213">
        <f>IF(N$10='CHUNG TU'!$I279,'CHUNG TU'!$L279,0)</f>
        <v>0</v>
      </c>
      <c r="O288" s="213" t="str">
        <f>IF(F288&lt;&gt;0,'CHUNG TU'!J279,"")</f>
        <v>2141</v>
      </c>
      <c r="P288" s="213">
        <f>IF(LEFT('CHUNG TU'!J279,3)='CPSXKD 642_yếu tố'!$H$7,'CHUNG TU'!$L279,0)</f>
        <v>0</v>
      </c>
      <c r="Q288" s="213">
        <f>IF(P288&lt;&gt;0,'CHUNG TU'!I279,"")</f>
      </c>
    </row>
    <row r="289" spans="2:17" ht="12.75">
      <c r="B289" s="213">
        <f>IF($F289+$P289&lt;&gt;0,'CHUNG TU'!A280,"")</f>
      </c>
      <c r="C289" s="213">
        <f>IF($F289+$P289&lt;&gt;0,IF('CHUNG TU'!B280&lt;&gt;"",'CHUNG TU'!B280,IF('CHUNG TU'!C280&lt;&gt;"",'CHUNG TU'!C280,'CHUNG TU'!D280)),"")</f>
      </c>
      <c r="D289" s="213">
        <f>IF($F289+$P289&lt;&gt;0,'CHUNG TU'!F280,"")</f>
      </c>
      <c r="E289" s="213">
        <f>IF($F289+$P289&lt;&gt;0,'CHUNG TU'!H280,"")</f>
      </c>
      <c r="F289" s="213">
        <f>IF(LEFT('CHUNG TU'!I280,3)='CPSXKD 642_yếu tố'!$H$7,'CHUNG TU'!$L280,0)</f>
        <v>0</v>
      </c>
      <c r="G289" s="213">
        <f>IF(G$10='CHUNG TU'!$I280,'CHUNG TU'!$L280,0)</f>
        <v>0</v>
      </c>
      <c r="H289" s="213">
        <f>IF(H$10='CHUNG TU'!$I280,'CHUNG TU'!$L280,0)</f>
        <v>0</v>
      </c>
      <c r="I289" s="213">
        <f>IF(I$10='CHUNG TU'!$I280,'CHUNG TU'!$L280,0)</f>
        <v>0</v>
      </c>
      <c r="J289" s="213">
        <f>IF(J$10='CHUNG TU'!$I280,'CHUNG TU'!$L280,0)</f>
        <v>0</v>
      </c>
      <c r="K289" s="213">
        <f>IF(K$10='CHUNG TU'!$I280,'CHUNG TU'!$L280,0)</f>
        <v>0</v>
      </c>
      <c r="L289" s="213">
        <f>IF(L$10='CHUNG TU'!$I280,'CHUNG TU'!$L280,0)</f>
        <v>0</v>
      </c>
      <c r="M289" s="213">
        <f>IF(M$10='CHUNG TU'!$I280,'CHUNG TU'!$L280,0)</f>
        <v>0</v>
      </c>
      <c r="N289" s="213">
        <f>IF(N$10='CHUNG TU'!$I280,'CHUNG TU'!$L280,0)</f>
        <v>0</v>
      </c>
      <c r="O289" s="213">
        <f>IF(F289&lt;&gt;0,'CHUNG TU'!J280,"")</f>
      </c>
      <c r="P289" s="213">
        <f>IF(LEFT('CHUNG TU'!J280,3)='CPSXKD 642_yếu tố'!$H$7,'CHUNG TU'!$L280,0)</f>
        <v>0</v>
      </c>
      <c r="Q289" s="213">
        <f>IF(P289&lt;&gt;0,'CHUNG TU'!I280,"")</f>
      </c>
    </row>
    <row r="290" spans="2:17" ht="12.75">
      <c r="B290" s="213">
        <f>IF($F290+$P290&lt;&gt;0,'CHUNG TU'!A281,"")</f>
      </c>
      <c r="C290" s="213">
        <f>IF($F290+$P290&lt;&gt;0,IF('CHUNG TU'!B281&lt;&gt;"",'CHUNG TU'!B281,IF('CHUNG TU'!C281&lt;&gt;"",'CHUNG TU'!C281,'CHUNG TU'!D281)),"")</f>
      </c>
      <c r="D290" s="213">
        <f>IF($F290+$P290&lt;&gt;0,'CHUNG TU'!F281,"")</f>
      </c>
      <c r="E290" s="213">
        <f>IF($F290+$P290&lt;&gt;0,'CHUNG TU'!H281,"")</f>
      </c>
      <c r="F290" s="213">
        <f>IF(LEFT('CHUNG TU'!I281,3)='CPSXKD 642_yếu tố'!$H$7,'CHUNG TU'!$L281,0)</f>
        <v>0</v>
      </c>
      <c r="G290" s="213">
        <f>IF(G$10='CHUNG TU'!$I281,'CHUNG TU'!$L281,0)</f>
        <v>0</v>
      </c>
      <c r="H290" s="213">
        <f>IF(H$10='CHUNG TU'!$I281,'CHUNG TU'!$L281,0)</f>
        <v>0</v>
      </c>
      <c r="I290" s="213">
        <f>IF(I$10='CHUNG TU'!$I281,'CHUNG TU'!$L281,0)</f>
        <v>0</v>
      </c>
      <c r="J290" s="213">
        <f>IF(J$10='CHUNG TU'!$I281,'CHUNG TU'!$L281,0)</f>
        <v>0</v>
      </c>
      <c r="K290" s="213">
        <f>IF(K$10='CHUNG TU'!$I281,'CHUNG TU'!$L281,0)</f>
        <v>0</v>
      </c>
      <c r="L290" s="213">
        <f>IF(L$10='CHUNG TU'!$I281,'CHUNG TU'!$L281,0)</f>
        <v>0</v>
      </c>
      <c r="M290" s="213">
        <f>IF(M$10='CHUNG TU'!$I281,'CHUNG TU'!$L281,0)</f>
        <v>0</v>
      </c>
      <c r="N290" s="213">
        <f>IF(N$10='CHUNG TU'!$I281,'CHUNG TU'!$L281,0)</f>
        <v>0</v>
      </c>
      <c r="O290" s="213">
        <f>IF(F290&lt;&gt;0,'CHUNG TU'!J281,"")</f>
      </c>
      <c r="P290" s="213">
        <f>IF(LEFT('CHUNG TU'!J281,3)='CPSXKD 642_yếu tố'!$H$7,'CHUNG TU'!$L281,0)</f>
        <v>0</v>
      </c>
      <c r="Q290" s="213">
        <f>IF(P290&lt;&gt;0,'CHUNG TU'!I281,"")</f>
      </c>
    </row>
    <row r="291" spans="2:17" ht="12.75">
      <c r="B291" s="213">
        <f>IF($F291+$P291&lt;&gt;0,'CHUNG TU'!A282,"")</f>
      </c>
      <c r="C291" s="213">
        <f>IF($F291+$P291&lt;&gt;0,IF('CHUNG TU'!B282&lt;&gt;"",'CHUNG TU'!B282,IF('CHUNG TU'!C282&lt;&gt;"",'CHUNG TU'!C282,'CHUNG TU'!D282)),"")</f>
      </c>
      <c r="D291" s="213">
        <f>IF($F291+$P291&lt;&gt;0,'CHUNG TU'!F282,"")</f>
      </c>
      <c r="E291" s="213">
        <f>IF($F291+$P291&lt;&gt;0,'CHUNG TU'!H282,"")</f>
      </c>
      <c r="F291" s="213">
        <f>IF(LEFT('CHUNG TU'!I282,3)='CPSXKD 642_yếu tố'!$H$7,'CHUNG TU'!$L282,0)</f>
        <v>0</v>
      </c>
      <c r="G291" s="213">
        <f>IF(G$10='CHUNG TU'!$I282,'CHUNG TU'!$L282,0)</f>
        <v>0</v>
      </c>
      <c r="H291" s="213">
        <f>IF(H$10='CHUNG TU'!$I282,'CHUNG TU'!$L282,0)</f>
        <v>0</v>
      </c>
      <c r="I291" s="213">
        <f>IF(I$10='CHUNG TU'!$I282,'CHUNG TU'!$L282,0)</f>
        <v>0</v>
      </c>
      <c r="J291" s="213">
        <f>IF(J$10='CHUNG TU'!$I282,'CHUNG TU'!$L282,0)</f>
        <v>0</v>
      </c>
      <c r="K291" s="213">
        <f>IF(K$10='CHUNG TU'!$I282,'CHUNG TU'!$L282,0)</f>
        <v>0</v>
      </c>
      <c r="L291" s="213">
        <f>IF(L$10='CHUNG TU'!$I282,'CHUNG TU'!$L282,0)</f>
        <v>0</v>
      </c>
      <c r="M291" s="213">
        <f>IF(M$10='CHUNG TU'!$I282,'CHUNG TU'!$L282,0)</f>
        <v>0</v>
      </c>
      <c r="N291" s="213">
        <f>IF(N$10='CHUNG TU'!$I282,'CHUNG TU'!$L282,0)</f>
        <v>0</v>
      </c>
      <c r="O291" s="213">
        <f>IF(F291&lt;&gt;0,'CHUNG TU'!J282,"")</f>
      </c>
      <c r="P291" s="213">
        <f>IF(LEFT('CHUNG TU'!J282,3)='CPSXKD 642_yếu tố'!$H$7,'CHUNG TU'!$L282,0)</f>
        <v>0</v>
      </c>
      <c r="Q291" s="213">
        <f>IF(P291&lt;&gt;0,'CHUNG TU'!I282,"")</f>
      </c>
    </row>
    <row r="292" spans="2:17" ht="12.75">
      <c r="B292" s="213">
        <f>IF($F292+$P292&lt;&gt;0,'CHUNG TU'!A283,"")</f>
      </c>
      <c r="C292" s="213">
        <f>IF($F292+$P292&lt;&gt;0,IF('CHUNG TU'!B283&lt;&gt;"",'CHUNG TU'!B283,IF('CHUNG TU'!C283&lt;&gt;"",'CHUNG TU'!C283,'CHUNG TU'!D283)),"")</f>
      </c>
      <c r="D292" s="213">
        <f>IF($F292+$P292&lt;&gt;0,'CHUNG TU'!F283,"")</f>
      </c>
      <c r="E292" s="213">
        <f>IF($F292+$P292&lt;&gt;0,'CHUNG TU'!H283,"")</f>
      </c>
      <c r="F292" s="213">
        <f>IF(LEFT('CHUNG TU'!I283,3)='CPSXKD 642_yếu tố'!$H$7,'CHUNG TU'!$L283,0)</f>
        <v>0</v>
      </c>
      <c r="G292" s="213">
        <f>IF(G$10='CHUNG TU'!$I283,'CHUNG TU'!$L283,0)</f>
        <v>0</v>
      </c>
      <c r="H292" s="213">
        <f>IF(H$10='CHUNG TU'!$I283,'CHUNG TU'!$L283,0)</f>
        <v>0</v>
      </c>
      <c r="I292" s="213">
        <f>IF(I$10='CHUNG TU'!$I283,'CHUNG TU'!$L283,0)</f>
        <v>0</v>
      </c>
      <c r="J292" s="213">
        <f>IF(J$10='CHUNG TU'!$I283,'CHUNG TU'!$L283,0)</f>
        <v>0</v>
      </c>
      <c r="K292" s="213">
        <f>IF(K$10='CHUNG TU'!$I283,'CHUNG TU'!$L283,0)</f>
        <v>0</v>
      </c>
      <c r="L292" s="213">
        <f>IF(L$10='CHUNG TU'!$I283,'CHUNG TU'!$L283,0)</f>
        <v>0</v>
      </c>
      <c r="M292" s="213">
        <f>IF(M$10='CHUNG TU'!$I283,'CHUNG TU'!$L283,0)</f>
        <v>0</v>
      </c>
      <c r="N292" s="213">
        <f>IF(N$10='CHUNG TU'!$I283,'CHUNG TU'!$L283,0)</f>
        <v>0</v>
      </c>
      <c r="O292" s="213">
        <f>IF(F292&lt;&gt;0,'CHUNG TU'!J283,"")</f>
      </c>
      <c r="P292" s="213">
        <f>IF(LEFT('CHUNG TU'!J283,3)='CPSXKD 642_yếu tố'!$H$7,'CHUNG TU'!$L283,0)</f>
        <v>0</v>
      </c>
      <c r="Q292" s="213">
        <f>IF(P292&lt;&gt;0,'CHUNG TU'!I283,"")</f>
      </c>
    </row>
    <row r="293" spans="2:17" ht="12.75">
      <c r="B293" s="213">
        <f>IF($F293+$P293&lt;&gt;0,'CHUNG TU'!A284,"")</f>
      </c>
      <c r="C293" s="213">
        <f>IF($F293+$P293&lt;&gt;0,IF('CHUNG TU'!B284&lt;&gt;"",'CHUNG TU'!B284,IF('CHUNG TU'!C284&lt;&gt;"",'CHUNG TU'!C284,'CHUNG TU'!D284)),"")</f>
      </c>
      <c r="D293" s="213">
        <f>IF($F293+$P293&lt;&gt;0,'CHUNG TU'!F284,"")</f>
      </c>
      <c r="E293" s="213">
        <f>IF($F293+$P293&lt;&gt;0,'CHUNG TU'!H284,"")</f>
      </c>
      <c r="F293" s="213">
        <f>IF(LEFT('CHUNG TU'!I284,3)='CPSXKD 642_yếu tố'!$H$7,'CHUNG TU'!$L284,0)</f>
        <v>0</v>
      </c>
      <c r="G293" s="213">
        <f>IF(G$10='CHUNG TU'!$I284,'CHUNG TU'!$L284,0)</f>
        <v>0</v>
      </c>
      <c r="H293" s="213">
        <f>IF(H$10='CHUNG TU'!$I284,'CHUNG TU'!$L284,0)</f>
        <v>0</v>
      </c>
      <c r="I293" s="213">
        <f>IF(I$10='CHUNG TU'!$I284,'CHUNG TU'!$L284,0)</f>
        <v>0</v>
      </c>
      <c r="J293" s="213">
        <f>IF(J$10='CHUNG TU'!$I284,'CHUNG TU'!$L284,0)</f>
        <v>0</v>
      </c>
      <c r="K293" s="213">
        <f>IF(K$10='CHUNG TU'!$I284,'CHUNG TU'!$L284,0)</f>
        <v>0</v>
      </c>
      <c r="L293" s="213">
        <f>IF(L$10='CHUNG TU'!$I284,'CHUNG TU'!$L284,0)</f>
        <v>0</v>
      </c>
      <c r="M293" s="213">
        <f>IF(M$10='CHUNG TU'!$I284,'CHUNG TU'!$L284,0)</f>
        <v>0</v>
      </c>
      <c r="N293" s="213">
        <f>IF(N$10='CHUNG TU'!$I284,'CHUNG TU'!$L284,0)</f>
        <v>0</v>
      </c>
      <c r="O293" s="213">
        <f>IF(F293&lt;&gt;0,'CHUNG TU'!J284,"")</f>
      </c>
      <c r="P293" s="213">
        <f>IF(LEFT('CHUNG TU'!J284,3)='CPSXKD 642_yếu tố'!$H$7,'CHUNG TU'!$L284,0)</f>
        <v>0</v>
      </c>
      <c r="Q293" s="213">
        <f>IF(P293&lt;&gt;0,'CHUNG TU'!I284,"")</f>
      </c>
    </row>
    <row r="294" spans="2:17" ht="12.75">
      <c r="B294" s="213">
        <f>IF($F294+$P294&lt;&gt;0,'CHUNG TU'!A285,"")</f>
      </c>
      <c r="C294" s="213">
        <f>IF($F294+$P294&lt;&gt;0,IF('CHUNG TU'!B285&lt;&gt;"",'CHUNG TU'!B285,IF('CHUNG TU'!C285&lt;&gt;"",'CHUNG TU'!C285,'CHUNG TU'!D285)),"")</f>
      </c>
      <c r="D294" s="213">
        <f>IF($F294+$P294&lt;&gt;0,'CHUNG TU'!F285,"")</f>
      </c>
      <c r="E294" s="213">
        <f>IF($F294+$P294&lt;&gt;0,'CHUNG TU'!H285,"")</f>
      </c>
      <c r="F294" s="213">
        <f>IF(LEFT('CHUNG TU'!I285,3)='CPSXKD 642_yếu tố'!$H$7,'CHUNG TU'!$L285,0)</f>
        <v>0</v>
      </c>
      <c r="G294" s="213">
        <f>IF(G$10='CHUNG TU'!$I285,'CHUNG TU'!$L285,0)</f>
        <v>0</v>
      </c>
      <c r="H294" s="213">
        <f>IF(H$10='CHUNG TU'!$I285,'CHUNG TU'!$L285,0)</f>
        <v>0</v>
      </c>
      <c r="I294" s="213">
        <f>IF(I$10='CHUNG TU'!$I285,'CHUNG TU'!$L285,0)</f>
        <v>0</v>
      </c>
      <c r="J294" s="213">
        <f>IF(J$10='CHUNG TU'!$I285,'CHUNG TU'!$L285,0)</f>
        <v>0</v>
      </c>
      <c r="K294" s="213">
        <f>IF(K$10='CHUNG TU'!$I285,'CHUNG TU'!$L285,0)</f>
        <v>0</v>
      </c>
      <c r="L294" s="213">
        <f>IF(L$10='CHUNG TU'!$I285,'CHUNG TU'!$L285,0)</f>
        <v>0</v>
      </c>
      <c r="M294" s="213">
        <f>IF(M$10='CHUNG TU'!$I285,'CHUNG TU'!$L285,0)</f>
        <v>0</v>
      </c>
      <c r="N294" s="213">
        <f>IF(N$10='CHUNG TU'!$I285,'CHUNG TU'!$L285,0)</f>
        <v>0</v>
      </c>
      <c r="O294" s="213">
        <f>IF(F294&lt;&gt;0,'CHUNG TU'!J285,"")</f>
      </c>
      <c r="P294" s="213">
        <f>IF(LEFT('CHUNG TU'!J285,3)='CPSXKD 642_yếu tố'!$H$7,'CHUNG TU'!$L285,0)</f>
        <v>0</v>
      </c>
      <c r="Q294" s="213">
        <f>IF(P294&lt;&gt;0,'CHUNG TU'!I285,"")</f>
      </c>
    </row>
    <row r="295" spans="2:17" ht="12.75">
      <c r="B295" s="213">
        <f>IF($F295+$P295&lt;&gt;0,'CHUNG TU'!A286,"")</f>
      </c>
      <c r="C295" s="213">
        <f>IF($F295+$P295&lt;&gt;0,IF('CHUNG TU'!B286&lt;&gt;"",'CHUNG TU'!B286,IF('CHUNG TU'!C286&lt;&gt;"",'CHUNG TU'!C286,'CHUNG TU'!D286)),"")</f>
      </c>
      <c r="D295" s="213">
        <f>IF($F295+$P295&lt;&gt;0,'CHUNG TU'!F286,"")</f>
      </c>
      <c r="E295" s="213">
        <f>IF($F295+$P295&lt;&gt;0,'CHUNG TU'!H286,"")</f>
      </c>
      <c r="F295" s="213">
        <f>IF(LEFT('CHUNG TU'!I286,3)='CPSXKD 642_yếu tố'!$H$7,'CHUNG TU'!$L286,0)</f>
        <v>0</v>
      </c>
      <c r="G295" s="213">
        <f>IF(G$10='CHUNG TU'!$I286,'CHUNG TU'!$L286,0)</f>
        <v>0</v>
      </c>
      <c r="H295" s="213">
        <f>IF(H$10='CHUNG TU'!$I286,'CHUNG TU'!$L286,0)</f>
        <v>0</v>
      </c>
      <c r="I295" s="213">
        <f>IF(I$10='CHUNG TU'!$I286,'CHUNG TU'!$L286,0)</f>
        <v>0</v>
      </c>
      <c r="J295" s="213">
        <f>IF(J$10='CHUNG TU'!$I286,'CHUNG TU'!$L286,0)</f>
        <v>0</v>
      </c>
      <c r="K295" s="213">
        <f>IF(K$10='CHUNG TU'!$I286,'CHUNG TU'!$L286,0)</f>
        <v>0</v>
      </c>
      <c r="L295" s="213">
        <f>IF(L$10='CHUNG TU'!$I286,'CHUNG TU'!$L286,0)</f>
        <v>0</v>
      </c>
      <c r="M295" s="213">
        <f>IF(M$10='CHUNG TU'!$I286,'CHUNG TU'!$L286,0)</f>
        <v>0</v>
      </c>
      <c r="N295" s="213">
        <f>IF(N$10='CHUNG TU'!$I286,'CHUNG TU'!$L286,0)</f>
        <v>0</v>
      </c>
      <c r="O295" s="213">
        <f>IF(F295&lt;&gt;0,'CHUNG TU'!J286,"")</f>
      </c>
      <c r="P295" s="213">
        <f>IF(LEFT('CHUNG TU'!J286,3)='CPSXKD 642_yếu tố'!$H$7,'CHUNG TU'!$L286,0)</f>
        <v>0</v>
      </c>
      <c r="Q295" s="213">
        <f>IF(P295&lt;&gt;0,'CHUNG TU'!I286,"")</f>
      </c>
    </row>
    <row r="296" spans="2:17" ht="12.75">
      <c r="B296" s="213">
        <f>IF($F296+$P296&lt;&gt;0,'CHUNG TU'!A287,"")</f>
      </c>
      <c r="C296" s="213">
        <f>IF($F296+$P296&lt;&gt;0,IF('CHUNG TU'!B287&lt;&gt;"",'CHUNG TU'!B287,IF('CHUNG TU'!C287&lt;&gt;"",'CHUNG TU'!C287,'CHUNG TU'!D287)),"")</f>
      </c>
      <c r="D296" s="213">
        <f>IF($F296+$P296&lt;&gt;0,'CHUNG TU'!F287,"")</f>
      </c>
      <c r="E296" s="213">
        <f>IF($F296+$P296&lt;&gt;0,'CHUNG TU'!H287,"")</f>
      </c>
      <c r="F296" s="213">
        <f>IF(LEFT('CHUNG TU'!I287,3)='CPSXKD 642_yếu tố'!$H$7,'CHUNG TU'!$L287,0)</f>
        <v>0</v>
      </c>
      <c r="G296" s="213">
        <f>IF(G$10='CHUNG TU'!$I287,'CHUNG TU'!$L287,0)</f>
        <v>0</v>
      </c>
      <c r="H296" s="213">
        <f>IF(H$10='CHUNG TU'!$I287,'CHUNG TU'!$L287,0)</f>
        <v>0</v>
      </c>
      <c r="I296" s="213">
        <f>IF(I$10='CHUNG TU'!$I287,'CHUNG TU'!$L287,0)</f>
        <v>0</v>
      </c>
      <c r="J296" s="213">
        <f>IF(J$10='CHUNG TU'!$I287,'CHUNG TU'!$L287,0)</f>
        <v>0</v>
      </c>
      <c r="K296" s="213">
        <f>IF(K$10='CHUNG TU'!$I287,'CHUNG TU'!$L287,0)</f>
        <v>0</v>
      </c>
      <c r="L296" s="213">
        <f>IF(L$10='CHUNG TU'!$I287,'CHUNG TU'!$L287,0)</f>
        <v>0</v>
      </c>
      <c r="M296" s="213">
        <f>IF(M$10='CHUNG TU'!$I287,'CHUNG TU'!$L287,0)</f>
        <v>0</v>
      </c>
      <c r="N296" s="213">
        <f>IF(N$10='CHUNG TU'!$I287,'CHUNG TU'!$L287,0)</f>
        <v>0</v>
      </c>
      <c r="O296" s="213">
        <f>IF(F296&lt;&gt;0,'CHUNG TU'!J287,"")</f>
      </c>
      <c r="P296" s="213">
        <f>IF(LEFT('CHUNG TU'!J287,3)='CPSXKD 642_yếu tố'!$H$7,'CHUNG TU'!$L287,0)</f>
        <v>0</v>
      </c>
      <c r="Q296" s="213">
        <f>IF(P296&lt;&gt;0,'CHUNG TU'!I287,"")</f>
      </c>
    </row>
    <row r="297" spans="2:17" ht="12.75">
      <c r="B297" s="213">
        <f>IF($F297+$P297&lt;&gt;0,'CHUNG TU'!A288,"")</f>
      </c>
      <c r="C297" s="213">
        <f>IF($F297+$P297&lt;&gt;0,IF('CHUNG TU'!B288&lt;&gt;"",'CHUNG TU'!B288,IF('CHUNG TU'!C288&lt;&gt;"",'CHUNG TU'!C288,'CHUNG TU'!D288)),"")</f>
      </c>
      <c r="D297" s="213">
        <f>IF($F297+$P297&lt;&gt;0,'CHUNG TU'!F288,"")</f>
      </c>
      <c r="E297" s="213">
        <f>IF($F297+$P297&lt;&gt;0,'CHUNG TU'!H288,"")</f>
      </c>
      <c r="F297" s="213">
        <f>IF(LEFT('CHUNG TU'!I288,3)='CPSXKD 642_yếu tố'!$H$7,'CHUNG TU'!$L288,0)</f>
        <v>0</v>
      </c>
      <c r="G297" s="213">
        <f>IF(G$10='CHUNG TU'!$I288,'CHUNG TU'!$L288,0)</f>
        <v>0</v>
      </c>
      <c r="H297" s="213">
        <f>IF(H$10='CHUNG TU'!$I288,'CHUNG TU'!$L288,0)</f>
        <v>0</v>
      </c>
      <c r="I297" s="213">
        <f>IF(I$10='CHUNG TU'!$I288,'CHUNG TU'!$L288,0)</f>
        <v>0</v>
      </c>
      <c r="J297" s="213">
        <f>IF(J$10='CHUNG TU'!$I288,'CHUNG TU'!$L288,0)</f>
        <v>0</v>
      </c>
      <c r="K297" s="213">
        <f>IF(K$10='CHUNG TU'!$I288,'CHUNG TU'!$L288,0)</f>
        <v>0</v>
      </c>
      <c r="L297" s="213">
        <f>IF(L$10='CHUNG TU'!$I288,'CHUNG TU'!$L288,0)</f>
        <v>0</v>
      </c>
      <c r="M297" s="213">
        <f>IF(M$10='CHUNG TU'!$I288,'CHUNG TU'!$L288,0)</f>
        <v>0</v>
      </c>
      <c r="N297" s="213">
        <f>IF(N$10='CHUNG TU'!$I288,'CHUNG TU'!$L288,0)</f>
        <v>0</v>
      </c>
      <c r="O297" s="213">
        <f>IF(F297&lt;&gt;0,'CHUNG TU'!J288,"")</f>
      </c>
      <c r="P297" s="213">
        <f>IF(LEFT('CHUNG TU'!J288,3)='CPSXKD 642_yếu tố'!$H$7,'CHUNG TU'!$L288,0)</f>
        <v>0</v>
      </c>
      <c r="Q297" s="213">
        <f>IF(P297&lt;&gt;0,'CHUNG TU'!I288,"")</f>
      </c>
    </row>
    <row r="298" spans="2:17" ht="12.75">
      <c r="B298" s="213">
        <f>IF($F298+$P298&lt;&gt;0,'CHUNG TU'!A289,"")</f>
      </c>
      <c r="C298" s="213">
        <f>IF($F298+$P298&lt;&gt;0,IF('CHUNG TU'!B289&lt;&gt;"",'CHUNG TU'!B289,IF('CHUNG TU'!C289&lt;&gt;"",'CHUNG TU'!C289,'CHUNG TU'!D289)),"")</f>
      </c>
      <c r="D298" s="213">
        <f>IF($F298+$P298&lt;&gt;0,'CHUNG TU'!F289,"")</f>
      </c>
      <c r="E298" s="213">
        <f>IF($F298+$P298&lt;&gt;0,'CHUNG TU'!H289,"")</f>
      </c>
      <c r="F298" s="213">
        <f>IF(LEFT('CHUNG TU'!I289,3)='CPSXKD 642_yếu tố'!$H$7,'CHUNG TU'!$L289,0)</f>
        <v>0</v>
      </c>
      <c r="G298" s="213">
        <f>IF(G$10='CHUNG TU'!$I289,'CHUNG TU'!$L289,0)</f>
        <v>0</v>
      </c>
      <c r="H298" s="213">
        <f>IF(H$10='CHUNG TU'!$I289,'CHUNG TU'!$L289,0)</f>
        <v>0</v>
      </c>
      <c r="I298" s="213">
        <f>IF(I$10='CHUNG TU'!$I289,'CHUNG TU'!$L289,0)</f>
        <v>0</v>
      </c>
      <c r="J298" s="213">
        <f>IF(J$10='CHUNG TU'!$I289,'CHUNG TU'!$L289,0)</f>
        <v>0</v>
      </c>
      <c r="K298" s="213">
        <f>IF(K$10='CHUNG TU'!$I289,'CHUNG TU'!$L289,0)</f>
        <v>0</v>
      </c>
      <c r="L298" s="213">
        <f>IF(L$10='CHUNG TU'!$I289,'CHUNG TU'!$L289,0)</f>
        <v>0</v>
      </c>
      <c r="M298" s="213">
        <f>IF(M$10='CHUNG TU'!$I289,'CHUNG TU'!$L289,0)</f>
        <v>0</v>
      </c>
      <c r="N298" s="213">
        <f>IF(N$10='CHUNG TU'!$I289,'CHUNG TU'!$L289,0)</f>
        <v>0</v>
      </c>
      <c r="O298" s="213">
        <f>IF(F298&lt;&gt;0,'CHUNG TU'!J289,"")</f>
      </c>
      <c r="P298" s="213">
        <f>IF(LEFT('CHUNG TU'!J289,3)='CPSXKD 642_yếu tố'!$H$7,'CHUNG TU'!$L289,0)</f>
        <v>0</v>
      </c>
      <c r="Q298" s="213">
        <f>IF(P298&lt;&gt;0,'CHUNG TU'!I289,"")</f>
      </c>
    </row>
    <row r="299" spans="2:17" ht="12.75">
      <c r="B299" s="213">
        <f>IF($F299+$P299&lt;&gt;0,'CHUNG TU'!A290,"")</f>
      </c>
      <c r="C299" s="213">
        <f>IF($F299+$P299&lt;&gt;0,IF('CHUNG TU'!B290&lt;&gt;"",'CHUNG TU'!B290,IF('CHUNG TU'!C290&lt;&gt;"",'CHUNG TU'!C290,'CHUNG TU'!D290)),"")</f>
      </c>
      <c r="D299" s="213">
        <f>IF($F299+$P299&lt;&gt;0,'CHUNG TU'!F290,"")</f>
      </c>
      <c r="E299" s="213">
        <f>IF($F299+$P299&lt;&gt;0,'CHUNG TU'!H290,"")</f>
      </c>
      <c r="F299" s="213">
        <f>IF(LEFT('CHUNG TU'!I290,3)='CPSXKD 642_yếu tố'!$H$7,'CHUNG TU'!$L290,0)</f>
        <v>0</v>
      </c>
      <c r="G299" s="213">
        <f>IF(G$10='CHUNG TU'!$I290,'CHUNG TU'!$L290,0)</f>
        <v>0</v>
      </c>
      <c r="H299" s="213">
        <f>IF(H$10='CHUNG TU'!$I290,'CHUNG TU'!$L290,0)</f>
        <v>0</v>
      </c>
      <c r="I299" s="213">
        <f>IF(I$10='CHUNG TU'!$I290,'CHUNG TU'!$L290,0)</f>
        <v>0</v>
      </c>
      <c r="J299" s="213">
        <f>IF(J$10='CHUNG TU'!$I290,'CHUNG TU'!$L290,0)</f>
        <v>0</v>
      </c>
      <c r="K299" s="213">
        <f>IF(K$10='CHUNG TU'!$I290,'CHUNG TU'!$L290,0)</f>
        <v>0</v>
      </c>
      <c r="L299" s="213">
        <f>IF(L$10='CHUNG TU'!$I290,'CHUNG TU'!$L290,0)</f>
        <v>0</v>
      </c>
      <c r="M299" s="213">
        <f>IF(M$10='CHUNG TU'!$I290,'CHUNG TU'!$L290,0)</f>
        <v>0</v>
      </c>
      <c r="N299" s="213">
        <f>IF(N$10='CHUNG TU'!$I290,'CHUNG TU'!$L290,0)</f>
        <v>0</v>
      </c>
      <c r="O299" s="213">
        <f>IF(F299&lt;&gt;0,'CHUNG TU'!J290,"")</f>
      </c>
      <c r="P299" s="213">
        <f>IF(LEFT('CHUNG TU'!J290,3)='CPSXKD 642_yếu tố'!$H$7,'CHUNG TU'!$L290,0)</f>
        <v>0</v>
      </c>
      <c r="Q299" s="213">
        <f>IF(P299&lt;&gt;0,'CHUNG TU'!I290,"")</f>
      </c>
    </row>
    <row r="300" spans="2:17" ht="12.75">
      <c r="B300" s="213">
        <f>IF($F300+$P300&lt;&gt;0,'CHUNG TU'!A291,"")</f>
      </c>
      <c r="C300" s="213">
        <f>IF($F300+$P300&lt;&gt;0,IF('CHUNG TU'!B291&lt;&gt;"",'CHUNG TU'!B291,IF('CHUNG TU'!C291&lt;&gt;"",'CHUNG TU'!C291,'CHUNG TU'!D291)),"")</f>
      </c>
      <c r="D300" s="213">
        <f>IF($F300+$P300&lt;&gt;0,'CHUNG TU'!F291,"")</f>
      </c>
      <c r="E300" s="213">
        <f>IF($F300+$P300&lt;&gt;0,'CHUNG TU'!H291,"")</f>
      </c>
      <c r="F300" s="213">
        <f>IF(LEFT('CHUNG TU'!I291,3)='CPSXKD 642_yếu tố'!$H$7,'CHUNG TU'!$L291,0)</f>
        <v>0</v>
      </c>
      <c r="G300" s="213">
        <f>IF(G$10='CHUNG TU'!$I291,'CHUNG TU'!$L291,0)</f>
        <v>0</v>
      </c>
      <c r="H300" s="213">
        <f>IF(H$10='CHUNG TU'!$I291,'CHUNG TU'!$L291,0)</f>
        <v>0</v>
      </c>
      <c r="I300" s="213">
        <f>IF(I$10='CHUNG TU'!$I291,'CHUNG TU'!$L291,0)</f>
        <v>0</v>
      </c>
      <c r="J300" s="213">
        <f>IF(J$10='CHUNG TU'!$I291,'CHUNG TU'!$L291,0)</f>
        <v>0</v>
      </c>
      <c r="K300" s="213">
        <f>IF(K$10='CHUNG TU'!$I291,'CHUNG TU'!$L291,0)</f>
        <v>0</v>
      </c>
      <c r="L300" s="213">
        <f>IF(L$10='CHUNG TU'!$I291,'CHUNG TU'!$L291,0)</f>
        <v>0</v>
      </c>
      <c r="M300" s="213">
        <f>IF(M$10='CHUNG TU'!$I291,'CHUNG TU'!$L291,0)</f>
        <v>0</v>
      </c>
      <c r="N300" s="213">
        <f>IF(N$10='CHUNG TU'!$I291,'CHUNG TU'!$L291,0)</f>
        <v>0</v>
      </c>
      <c r="O300" s="213">
        <f>IF(F300&lt;&gt;0,'CHUNG TU'!J291,"")</f>
      </c>
      <c r="P300" s="213">
        <f>IF(LEFT('CHUNG TU'!J291,3)='CPSXKD 642_yếu tố'!$H$7,'CHUNG TU'!$L291,0)</f>
        <v>0</v>
      </c>
      <c r="Q300" s="213">
        <f>IF(P300&lt;&gt;0,'CHUNG TU'!I291,"")</f>
      </c>
    </row>
    <row r="301" spans="2:17" ht="12.75">
      <c r="B301" s="213">
        <f>IF($F301+$P301&lt;&gt;0,'CHUNG TU'!A292,"")</f>
      </c>
      <c r="C301" s="213">
        <f>IF($F301+$P301&lt;&gt;0,IF('CHUNG TU'!B292&lt;&gt;"",'CHUNG TU'!B292,IF('CHUNG TU'!C292&lt;&gt;"",'CHUNG TU'!C292,'CHUNG TU'!D292)),"")</f>
      </c>
      <c r="D301" s="213">
        <f>IF($F301+$P301&lt;&gt;0,'CHUNG TU'!F292,"")</f>
      </c>
      <c r="E301" s="213">
        <f>IF($F301+$P301&lt;&gt;0,'CHUNG TU'!H292,"")</f>
      </c>
      <c r="F301" s="213">
        <f>IF(LEFT('CHUNG TU'!I292,3)='CPSXKD 642_yếu tố'!$H$7,'CHUNG TU'!$L292,0)</f>
        <v>0</v>
      </c>
      <c r="G301" s="213">
        <f>IF(G$10='CHUNG TU'!$I292,'CHUNG TU'!$L292,0)</f>
        <v>0</v>
      </c>
      <c r="H301" s="213">
        <f>IF(H$10='CHUNG TU'!$I292,'CHUNG TU'!$L292,0)</f>
        <v>0</v>
      </c>
      <c r="I301" s="213">
        <f>IF(I$10='CHUNG TU'!$I292,'CHUNG TU'!$L292,0)</f>
        <v>0</v>
      </c>
      <c r="J301" s="213">
        <f>IF(J$10='CHUNG TU'!$I292,'CHUNG TU'!$L292,0)</f>
        <v>0</v>
      </c>
      <c r="K301" s="213">
        <f>IF(K$10='CHUNG TU'!$I292,'CHUNG TU'!$L292,0)</f>
        <v>0</v>
      </c>
      <c r="L301" s="213">
        <f>IF(L$10='CHUNG TU'!$I292,'CHUNG TU'!$L292,0)</f>
        <v>0</v>
      </c>
      <c r="M301" s="213">
        <f>IF(M$10='CHUNG TU'!$I292,'CHUNG TU'!$L292,0)</f>
        <v>0</v>
      </c>
      <c r="N301" s="213">
        <f>IF(N$10='CHUNG TU'!$I292,'CHUNG TU'!$L292,0)</f>
        <v>0</v>
      </c>
      <c r="O301" s="213">
        <f>IF(F301&lt;&gt;0,'CHUNG TU'!J292,"")</f>
      </c>
      <c r="P301" s="213">
        <f>IF(LEFT('CHUNG TU'!J292,3)='CPSXKD 642_yếu tố'!$H$7,'CHUNG TU'!$L292,0)</f>
        <v>0</v>
      </c>
      <c r="Q301" s="213">
        <f>IF(P301&lt;&gt;0,'CHUNG TU'!I292,"")</f>
      </c>
    </row>
    <row r="302" spans="2:17" ht="12.75">
      <c r="B302" s="213">
        <f>IF($F302+$P302&lt;&gt;0,'CHUNG TU'!A293,"")</f>
      </c>
      <c r="C302" s="213">
        <f>IF($F302+$P302&lt;&gt;0,IF('CHUNG TU'!B293&lt;&gt;"",'CHUNG TU'!B293,IF('CHUNG TU'!C293&lt;&gt;"",'CHUNG TU'!C293,'CHUNG TU'!D293)),"")</f>
      </c>
      <c r="D302" s="213">
        <f>IF($F302+$P302&lt;&gt;0,'CHUNG TU'!F293,"")</f>
      </c>
      <c r="E302" s="213">
        <f>IF($F302+$P302&lt;&gt;0,'CHUNG TU'!H293,"")</f>
      </c>
      <c r="F302" s="213">
        <f>IF(LEFT('CHUNG TU'!I293,3)='CPSXKD 642_yếu tố'!$H$7,'CHUNG TU'!$L293,0)</f>
        <v>0</v>
      </c>
      <c r="G302" s="213">
        <f>IF(G$10='CHUNG TU'!$I293,'CHUNG TU'!$L293,0)</f>
        <v>0</v>
      </c>
      <c r="H302" s="213">
        <f>IF(H$10='CHUNG TU'!$I293,'CHUNG TU'!$L293,0)</f>
        <v>0</v>
      </c>
      <c r="I302" s="213">
        <f>IF(I$10='CHUNG TU'!$I293,'CHUNG TU'!$L293,0)</f>
        <v>0</v>
      </c>
      <c r="J302" s="213">
        <f>IF(J$10='CHUNG TU'!$I293,'CHUNG TU'!$L293,0)</f>
        <v>0</v>
      </c>
      <c r="K302" s="213">
        <f>IF(K$10='CHUNG TU'!$I293,'CHUNG TU'!$L293,0)</f>
        <v>0</v>
      </c>
      <c r="L302" s="213">
        <f>IF(L$10='CHUNG TU'!$I293,'CHUNG TU'!$L293,0)</f>
        <v>0</v>
      </c>
      <c r="M302" s="213">
        <f>IF(M$10='CHUNG TU'!$I293,'CHUNG TU'!$L293,0)</f>
        <v>0</v>
      </c>
      <c r="N302" s="213">
        <f>IF(N$10='CHUNG TU'!$I293,'CHUNG TU'!$L293,0)</f>
        <v>0</v>
      </c>
      <c r="O302" s="213">
        <f>IF(F302&lt;&gt;0,'CHUNG TU'!J293,"")</f>
      </c>
      <c r="P302" s="213">
        <f>IF(LEFT('CHUNG TU'!J293,3)='CPSXKD 642_yếu tố'!$H$7,'CHUNG TU'!$L293,0)</f>
        <v>0</v>
      </c>
      <c r="Q302" s="213">
        <f>IF(P302&lt;&gt;0,'CHUNG TU'!I293,"")</f>
      </c>
    </row>
    <row r="303" spans="2:17" ht="12.75">
      <c r="B303" s="213" t="str">
        <f>IF($F303+$P303&lt;&gt;0,'CHUNG TU'!A294,"")</f>
        <v>31/10/2020</v>
      </c>
      <c r="C303" s="213" t="str">
        <f>IF($F303+$P303&lt;&gt;0,IF('CHUNG TU'!B294&lt;&gt;"",'CHUNG TU'!B294,IF('CHUNG TU'!C294&lt;&gt;"",'CHUNG TU'!C294,'CHUNG TU'!D294)),"")</f>
        <v>PKT10/104</v>
      </c>
      <c r="D303" s="213" t="str">
        <f>IF($F303+$P303&lt;&gt;0,'CHUNG TU'!F294,"")</f>
        <v>31/10/2020</v>
      </c>
      <c r="E303" s="213" t="str">
        <f>IF($F303+$P303&lt;&gt;0,'CHUNG TU'!H294,"")</f>
        <v>Phân bổ lao vụ SX phụ 25% cho QLDN</v>
      </c>
      <c r="F303" s="213">
        <f>IF(LEFT('CHUNG TU'!I294,3)='CPSXKD 642_yếu tố'!$H$7,'CHUNG TU'!$L294,0)</f>
        <v>47165783.916666664</v>
      </c>
      <c r="G303" s="213">
        <f>IF(G$10='CHUNG TU'!$I294,'CHUNG TU'!$L294,0)</f>
        <v>0</v>
      </c>
      <c r="H303" s="213">
        <f>IF(H$10='CHUNG TU'!$I294,'CHUNG TU'!$L294,0)</f>
        <v>0</v>
      </c>
      <c r="I303" s="213">
        <f>IF(I$10='CHUNG TU'!$I294,'CHUNG TU'!$L294,0)</f>
        <v>0</v>
      </c>
      <c r="J303" s="213">
        <f>IF(J$10='CHUNG TU'!$I294,'CHUNG TU'!$L294,0)</f>
        <v>0</v>
      </c>
      <c r="K303" s="213">
        <f>IF(K$10='CHUNG TU'!$I294,'CHUNG TU'!$L294,0)</f>
        <v>0</v>
      </c>
      <c r="L303" s="213">
        <f>IF(L$10='CHUNG TU'!$I294,'CHUNG TU'!$L294,0)</f>
        <v>0</v>
      </c>
      <c r="M303" s="213">
        <f>IF(M$10='CHUNG TU'!$I294,'CHUNG TU'!$L294,0)</f>
        <v>47165783.916666664</v>
      </c>
      <c r="N303" s="213">
        <f>IF(N$10='CHUNG TU'!$I294,'CHUNG TU'!$L294,0)</f>
        <v>0</v>
      </c>
      <c r="O303" s="213" t="str">
        <f>IF(F303&lt;&gt;0,'CHUNG TU'!J294,"")</f>
        <v>154.PX2.B01</v>
      </c>
      <c r="P303" s="213">
        <f>IF(LEFT('CHUNG TU'!J294,3)='CPSXKD 642_yếu tố'!$H$7,'CHUNG TU'!$L294,0)</f>
        <v>0</v>
      </c>
      <c r="Q303" s="213">
        <f>IF(P303&lt;&gt;0,'CHUNG TU'!I294,"")</f>
      </c>
    </row>
    <row r="304" spans="2:17" ht="12.75">
      <c r="B304" s="213">
        <f>IF($F304+$P304&lt;&gt;0,'CHUNG TU'!A295,"")</f>
      </c>
      <c r="C304" s="213">
        <f>IF($F304+$P304&lt;&gt;0,IF('CHUNG TU'!B295&lt;&gt;"",'CHUNG TU'!B295,IF('CHUNG TU'!C295&lt;&gt;"",'CHUNG TU'!C295,'CHUNG TU'!D295)),"")</f>
      </c>
      <c r="D304" s="213">
        <f>IF($F304+$P304&lt;&gt;0,'CHUNG TU'!F295,"")</f>
      </c>
      <c r="E304" s="213">
        <f>IF($F304+$P304&lt;&gt;0,'CHUNG TU'!H295,"")</f>
      </c>
      <c r="F304" s="213">
        <f>IF(LEFT('CHUNG TU'!I295,3)='CPSXKD 642_yếu tố'!$H$7,'CHUNG TU'!$L295,0)</f>
        <v>0</v>
      </c>
      <c r="G304" s="213">
        <f>IF(G$10='CHUNG TU'!$I295,'CHUNG TU'!$L295,0)</f>
        <v>0</v>
      </c>
      <c r="H304" s="213">
        <f>IF(H$10='CHUNG TU'!$I295,'CHUNG TU'!$L295,0)</f>
        <v>0</v>
      </c>
      <c r="I304" s="213">
        <f>IF(I$10='CHUNG TU'!$I295,'CHUNG TU'!$L295,0)</f>
        <v>0</v>
      </c>
      <c r="J304" s="213">
        <f>IF(J$10='CHUNG TU'!$I295,'CHUNG TU'!$L295,0)</f>
        <v>0</v>
      </c>
      <c r="K304" s="213">
        <f>IF(K$10='CHUNG TU'!$I295,'CHUNG TU'!$L295,0)</f>
        <v>0</v>
      </c>
      <c r="L304" s="213">
        <f>IF(L$10='CHUNG TU'!$I295,'CHUNG TU'!$L295,0)</f>
        <v>0</v>
      </c>
      <c r="M304" s="213">
        <f>IF(M$10='CHUNG TU'!$I295,'CHUNG TU'!$L295,0)</f>
        <v>0</v>
      </c>
      <c r="N304" s="213">
        <f>IF(N$10='CHUNG TU'!$I295,'CHUNG TU'!$L295,0)</f>
        <v>0</v>
      </c>
      <c r="O304" s="213">
        <f>IF(F304&lt;&gt;0,'CHUNG TU'!J295,"")</f>
      </c>
      <c r="P304" s="213">
        <f>IF(LEFT('CHUNG TU'!J295,3)='CPSXKD 642_yếu tố'!$H$7,'CHUNG TU'!$L295,0)</f>
        <v>0</v>
      </c>
      <c r="Q304" s="213">
        <f>IF(P304&lt;&gt;0,'CHUNG TU'!I295,"")</f>
      </c>
    </row>
    <row r="305" spans="2:17" ht="12.75">
      <c r="B305" s="213">
        <f>IF($F305+$P305&lt;&gt;0,'CHUNG TU'!A296,"")</f>
      </c>
      <c r="C305" s="213">
        <f>IF($F305+$P305&lt;&gt;0,IF('CHUNG TU'!B296&lt;&gt;"",'CHUNG TU'!B296,IF('CHUNG TU'!C296&lt;&gt;"",'CHUNG TU'!C296,'CHUNG TU'!D296)),"")</f>
      </c>
      <c r="D305" s="213">
        <f>IF($F305+$P305&lt;&gt;0,'CHUNG TU'!F296,"")</f>
      </c>
      <c r="E305" s="213">
        <f>IF($F305+$P305&lt;&gt;0,'CHUNG TU'!H296,"")</f>
      </c>
      <c r="F305" s="213">
        <f>IF(LEFT('CHUNG TU'!I296,3)='CPSXKD 642_yếu tố'!$H$7,'CHUNG TU'!$L296,0)</f>
        <v>0</v>
      </c>
      <c r="G305" s="213">
        <f>IF(G$10='CHUNG TU'!$I296,'CHUNG TU'!$L296,0)</f>
        <v>0</v>
      </c>
      <c r="H305" s="213">
        <f>IF(H$10='CHUNG TU'!$I296,'CHUNG TU'!$L296,0)</f>
        <v>0</v>
      </c>
      <c r="I305" s="213">
        <f>IF(I$10='CHUNG TU'!$I296,'CHUNG TU'!$L296,0)</f>
        <v>0</v>
      </c>
      <c r="J305" s="213">
        <f>IF(J$10='CHUNG TU'!$I296,'CHUNG TU'!$L296,0)</f>
        <v>0</v>
      </c>
      <c r="K305" s="213">
        <f>IF(K$10='CHUNG TU'!$I296,'CHUNG TU'!$L296,0)</f>
        <v>0</v>
      </c>
      <c r="L305" s="213">
        <f>IF(L$10='CHUNG TU'!$I296,'CHUNG TU'!$L296,0)</f>
        <v>0</v>
      </c>
      <c r="M305" s="213">
        <f>IF(M$10='CHUNG TU'!$I296,'CHUNG TU'!$L296,0)</f>
        <v>0</v>
      </c>
      <c r="N305" s="213">
        <f>IF(N$10='CHUNG TU'!$I296,'CHUNG TU'!$L296,0)</f>
        <v>0</v>
      </c>
      <c r="O305" s="213">
        <f>IF(F305&lt;&gt;0,'CHUNG TU'!J296,"")</f>
      </c>
      <c r="P305" s="213">
        <f>IF(LEFT('CHUNG TU'!J296,3)='CPSXKD 642_yếu tố'!$H$7,'CHUNG TU'!$L296,0)</f>
        <v>0</v>
      </c>
      <c r="Q305" s="213">
        <f>IF(P305&lt;&gt;0,'CHUNG TU'!I296,"")</f>
      </c>
    </row>
    <row r="306" spans="2:17" ht="12.75">
      <c r="B306" s="213">
        <f>IF($F306+$P306&lt;&gt;0,'CHUNG TU'!A297,"")</f>
      </c>
      <c r="C306" s="213">
        <f>IF($F306+$P306&lt;&gt;0,IF('CHUNG TU'!B297&lt;&gt;"",'CHUNG TU'!B297,IF('CHUNG TU'!C297&lt;&gt;"",'CHUNG TU'!C297,'CHUNG TU'!D297)),"")</f>
      </c>
      <c r="D306" s="213">
        <f>IF($F306+$P306&lt;&gt;0,'CHUNG TU'!F297,"")</f>
      </c>
      <c r="E306" s="213">
        <f>IF($F306+$P306&lt;&gt;0,'CHUNG TU'!H297,"")</f>
      </c>
      <c r="F306" s="213">
        <f>IF(LEFT('CHUNG TU'!I297,3)='CPSXKD 642_yếu tố'!$H$7,'CHUNG TU'!$L297,0)</f>
        <v>0</v>
      </c>
      <c r="G306" s="213">
        <f>IF(G$10='CHUNG TU'!$I297,'CHUNG TU'!$L297,0)</f>
        <v>0</v>
      </c>
      <c r="H306" s="213">
        <f>IF(H$10='CHUNG TU'!$I297,'CHUNG TU'!$L297,0)</f>
        <v>0</v>
      </c>
      <c r="I306" s="213">
        <f>IF(I$10='CHUNG TU'!$I297,'CHUNG TU'!$L297,0)</f>
        <v>0</v>
      </c>
      <c r="J306" s="213">
        <f>IF(J$10='CHUNG TU'!$I297,'CHUNG TU'!$L297,0)</f>
        <v>0</v>
      </c>
      <c r="K306" s="213">
        <f>IF(K$10='CHUNG TU'!$I297,'CHUNG TU'!$L297,0)</f>
        <v>0</v>
      </c>
      <c r="L306" s="213">
        <f>IF(L$10='CHUNG TU'!$I297,'CHUNG TU'!$L297,0)</f>
        <v>0</v>
      </c>
      <c r="M306" s="213">
        <f>IF(M$10='CHUNG TU'!$I297,'CHUNG TU'!$L297,0)</f>
        <v>0</v>
      </c>
      <c r="N306" s="213">
        <f>IF(N$10='CHUNG TU'!$I297,'CHUNG TU'!$L297,0)</f>
        <v>0</v>
      </c>
      <c r="O306" s="213">
        <f>IF(F306&lt;&gt;0,'CHUNG TU'!J297,"")</f>
      </c>
      <c r="P306" s="213">
        <f>IF(LEFT('CHUNG TU'!J297,3)='CPSXKD 642_yếu tố'!$H$7,'CHUNG TU'!$L297,0)</f>
        <v>0</v>
      </c>
      <c r="Q306" s="213">
        <f>IF(P306&lt;&gt;0,'CHUNG TU'!I297,"")</f>
      </c>
    </row>
    <row r="307" spans="2:17" ht="12.75">
      <c r="B307" s="213">
        <f>IF($F307+$P307&lt;&gt;0,'CHUNG TU'!A298,"")</f>
      </c>
      <c r="C307" s="213">
        <f>IF($F307+$P307&lt;&gt;0,IF('CHUNG TU'!B298&lt;&gt;"",'CHUNG TU'!B298,IF('CHUNG TU'!C298&lt;&gt;"",'CHUNG TU'!C298,'CHUNG TU'!D298)),"")</f>
      </c>
      <c r="D307" s="213">
        <f>IF($F307+$P307&lt;&gt;0,'CHUNG TU'!F298,"")</f>
      </c>
      <c r="E307" s="213">
        <f>IF($F307+$P307&lt;&gt;0,'CHUNG TU'!H298,"")</f>
      </c>
      <c r="F307" s="213">
        <f>IF(LEFT('CHUNG TU'!I298,3)='CPSXKD 642_yếu tố'!$H$7,'CHUNG TU'!$L298,0)</f>
        <v>0</v>
      </c>
      <c r="G307" s="213">
        <f>IF(G$10='CHUNG TU'!$I298,'CHUNG TU'!$L298,0)</f>
        <v>0</v>
      </c>
      <c r="H307" s="213">
        <f>IF(H$10='CHUNG TU'!$I298,'CHUNG TU'!$L298,0)</f>
        <v>0</v>
      </c>
      <c r="I307" s="213">
        <f>IF(I$10='CHUNG TU'!$I298,'CHUNG TU'!$L298,0)</f>
        <v>0</v>
      </c>
      <c r="J307" s="213">
        <f>IF(J$10='CHUNG TU'!$I298,'CHUNG TU'!$L298,0)</f>
        <v>0</v>
      </c>
      <c r="K307" s="213">
        <f>IF(K$10='CHUNG TU'!$I298,'CHUNG TU'!$L298,0)</f>
        <v>0</v>
      </c>
      <c r="L307" s="213">
        <f>IF(L$10='CHUNG TU'!$I298,'CHUNG TU'!$L298,0)</f>
        <v>0</v>
      </c>
      <c r="M307" s="213">
        <f>IF(M$10='CHUNG TU'!$I298,'CHUNG TU'!$L298,0)</f>
        <v>0</v>
      </c>
      <c r="N307" s="213">
        <f>IF(N$10='CHUNG TU'!$I298,'CHUNG TU'!$L298,0)</f>
        <v>0</v>
      </c>
      <c r="O307" s="213">
        <f>IF(F307&lt;&gt;0,'CHUNG TU'!J298,"")</f>
      </c>
      <c r="P307" s="213">
        <f>IF(LEFT('CHUNG TU'!J298,3)='CPSXKD 642_yếu tố'!$H$7,'CHUNG TU'!$L298,0)</f>
        <v>0</v>
      </c>
      <c r="Q307" s="213">
        <f>IF(P307&lt;&gt;0,'CHUNG TU'!I298,"")</f>
      </c>
    </row>
    <row r="308" spans="2:17" ht="12.75">
      <c r="B308" s="213">
        <f>IF($F308+$P308&lt;&gt;0,'CHUNG TU'!A299,"")</f>
      </c>
      <c r="C308" s="213">
        <f>IF($F308+$P308&lt;&gt;0,IF('CHUNG TU'!B299&lt;&gt;"",'CHUNG TU'!B299,IF('CHUNG TU'!C299&lt;&gt;"",'CHUNG TU'!C299,'CHUNG TU'!D299)),"")</f>
      </c>
      <c r="D308" s="213">
        <f>IF($F308+$P308&lt;&gt;0,'CHUNG TU'!F299,"")</f>
      </c>
      <c r="E308" s="213">
        <f>IF($F308+$P308&lt;&gt;0,'CHUNG TU'!H299,"")</f>
      </c>
      <c r="F308" s="213">
        <f>IF(LEFT('CHUNG TU'!I299,3)='CPSXKD 642_yếu tố'!$H$7,'CHUNG TU'!$L299,0)</f>
        <v>0</v>
      </c>
      <c r="G308" s="213">
        <f>IF(G$10='CHUNG TU'!$I299,'CHUNG TU'!$L299,0)</f>
        <v>0</v>
      </c>
      <c r="H308" s="213">
        <f>IF(H$10='CHUNG TU'!$I299,'CHUNG TU'!$L299,0)</f>
        <v>0</v>
      </c>
      <c r="I308" s="213">
        <f>IF(I$10='CHUNG TU'!$I299,'CHUNG TU'!$L299,0)</f>
        <v>0</v>
      </c>
      <c r="J308" s="213">
        <f>IF(J$10='CHUNG TU'!$I299,'CHUNG TU'!$L299,0)</f>
        <v>0</v>
      </c>
      <c r="K308" s="213">
        <f>IF(K$10='CHUNG TU'!$I299,'CHUNG TU'!$L299,0)</f>
        <v>0</v>
      </c>
      <c r="L308" s="213">
        <f>IF(L$10='CHUNG TU'!$I299,'CHUNG TU'!$L299,0)</f>
        <v>0</v>
      </c>
      <c r="M308" s="213">
        <f>IF(M$10='CHUNG TU'!$I299,'CHUNG TU'!$L299,0)</f>
        <v>0</v>
      </c>
      <c r="N308" s="213">
        <f>IF(N$10='CHUNG TU'!$I299,'CHUNG TU'!$L299,0)</f>
        <v>0</v>
      </c>
      <c r="O308" s="213">
        <f>IF(F308&lt;&gt;0,'CHUNG TU'!J299,"")</f>
      </c>
      <c r="P308" s="213">
        <f>IF(LEFT('CHUNG TU'!J299,3)='CPSXKD 642_yếu tố'!$H$7,'CHUNG TU'!$L299,0)</f>
        <v>0</v>
      </c>
      <c r="Q308" s="213">
        <f>IF(P308&lt;&gt;0,'CHUNG TU'!I299,"")</f>
      </c>
    </row>
    <row r="309" spans="2:17" ht="12.75">
      <c r="B309" s="213">
        <f>IF($F309+$P309&lt;&gt;0,'CHUNG TU'!A300,"")</f>
      </c>
      <c r="C309" s="213">
        <f>IF($F309+$P309&lt;&gt;0,IF('CHUNG TU'!B300&lt;&gt;"",'CHUNG TU'!B300,IF('CHUNG TU'!C300&lt;&gt;"",'CHUNG TU'!C300,'CHUNG TU'!D300)),"")</f>
      </c>
      <c r="D309" s="213">
        <f>IF($F309+$P309&lt;&gt;0,'CHUNG TU'!F300,"")</f>
      </c>
      <c r="E309" s="213">
        <f>IF($F309+$P309&lt;&gt;0,'CHUNG TU'!H300,"")</f>
      </c>
      <c r="F309" s="213">
        <f>IF(LEFT('CHUNG TU'!I300,3)='CPSXKD 642_yếu tố'!$H$7,'CHUNG TU'!$L300,0)</f>
        <v>0</v>
      </c>
      <c r="G309" s="213">
        <f>IF(G$10='CHUNG TU'!$I300,'CHUNG TU'!$L300,0)</f>
        <v>0</v>
      </c>
      <c r="H309" s="213">
        <f>IF(H$10='CHUNG TU'!$I300,'CHUNG TU'!$L300,0)</f>
        <v>0</v>
      </c>
      <c r="I309" s="213">
        <f>IF(I$10='CHUNG TU'!$I300,'CHUNG TU'!$L300,0)</f>
        <v>0</v>
      </c>
      <c r="J309" s="213">
        <f>IF(J$10='CHUNG TU'!$I300,'CHUNG TU'!$L300,0)</f>
        <v>0</v>
      </c>
      <c r="K309" s="213">
        <f>IF(K$10='CHUNG TU'!$I300,'CHUNG TU'!$L300,0)</f>
        <v>0</v>
      </c>
      <c r="L309" s="213">
        <f>IF(L$10='CHUNG TU'!$I300,'CHUNG TU'!$L300,0)</f>
        <v>0</v>
      </c>
      <c r="M309" s="213">
        <f>IF(M$10='CHUNG TU'!$I300,'CHUNG TU'!$L300,0)</f>
        <v>0</v>
      </c>
      <c r="N309" s="213">
        <f>IF(N$10='CHUNG TU'!$I300,'CHUNG TU'!$L300,0)</f>
        <v>0</v>
      </c>
      <c r="O309" s="213">
        <f>IF(F309&lt;&gt;0,'CHUNG TU'!J300,"")</f>
      </c>
      <c r="P309" s="213">
        <f>IF(LEFT('CHUNG TU'!J300,3)='CPSXKD 642_yếu tố'!$H$7,'CHUNG TU'!$L300,0)</f>
        <v>0</v>
      </c>
      <c r="Q309" s="213">
        <f>IF(P309&lt;&gt;0,'CHUNG TU'!I300,"")</f>
      </c>
    </row>
    <row r="310" spans="2:17" ht="12.75">
      <c r="B310" s="213">
        <f>IF($F310+$P310&lt;&gt;0,'CHUNG TU'!A301,"")</f>
      </c>
      <c r="C310" s="213">
        <f>IF($F310+$P310&lt;&gt;0,IF('CHUNG TU'!B301&lt;&gt;"",'CHUNG TU'!B301,IF('CHUNG TU'!C301&lt;&gt;"",'CHUNG TU'!C301,'CHUNG TU'!D301)),"")</f>
      </c>
      <c r="D310" s="213">
        <f>IF($F310+$P310&lt;&gt;0,'CHUNG TU'!F301,"")</f>
      </c>
      <c r="E310" s="213">
        <f>IF($F310+$P310&lt;&gt;0,'CHUNG TU'!H301,"")</f>
      </c>
      <c r="F310" s="213">
        <f>IF(LEFT('CHUNG TU'!I301,3)='CPSXKD 642_yếu tố'!$H$7,'CHUNG TU'!$L301,0)</f>
        <v>0</v>
      </c>
      <c r="G310" s="213">
        <f>IF(G$10='CHUNG TU'!$I301,'CHUNG TU'!$L301,0)</f>
        <v>0</v>
      </c>
      <c r="H310" s="213">
        <f>IF(H$10='CHUNG TU'!$I301,'CHUNG TU'!$L301,0)</f>
        <v>0</v>
      </c>
      <c r="I310" s="213">
        <f>IF(I$10='CHUNG TU'!$I301,'CHUNG TU'!$L301,0)</f>
        <v>0</v>
      </c>
      <c r="J310" s="213">
        <f>IF(J$10='CHUNG TU'!$I301,'CHUNG TU'!$L301,0)</f>
        <v>0</v>
      </c>
      <c r="K310" s="213">
        <f>IF(K$10='CHUNG TU'!$I301,'CHUNG TU'!$L301,0)</f>
        <v>0</v>
      </c>
      <c r="L310" s="213">
        <f>IF(L$10='CHUNG TU'!$I301,'CHUNG TU'!$L301,0)</f>
        <v>0</v>
      </c>
      <c r="M310" s="213">
        <f>IF(M$10='CHUNG TU'!$I301,'CHUNG TU'!$L301,0)</f>
        <v>0</v>
      </c>
      <c r="N310" s="213">
        <f>IF(N$10='CHUNG TU'!$I301,'CHUNG TU'!$L301,0)</f>
        <v>0</v>
      </c>
      <c r="O310" s="213">
        <f>IF(F310&lt;&gt;0,'CHUNG TU'!J301,"")</f>
      </c>
      <c r="P310" s="213">
        <f>IF(LEFT('CHUNG TU'!J301,3)='CPSXKD 642_yếu tố'!$H$7,'CHUNG TU'!$L301,0)</f>
        <v>0</v>
      </c>
      <c r="Q310" s="213">
        <f>IF(P310&lt;&gt;0,'CHUNG TU'!I301,"")</f>
      </c>
    </row>
    <row r="311" spans="2:17" ht="12.75">
      <c r="B311" s="213">
        <f>IF($F311+$P311&lt;&gt;0,'CHUNG TU'!A302,"")</f>
      </c>
      <c r="C311" s="213">
        <f>IF($F311+$P311&lt;&gt;0,IF('CHUNG TU'!B302&lt;&gt;"",'CHUNG TU'!B302,IF('CHUNG TU'!C302&lt;&gt;"",'CHUNG TU'!C302,'CHUNG TU'!D302)),"")</f>
      </c>
      <c r="D311" s="213">
        <f>IF($F311+$P311&lt;&gt;0,'CHUNG TU'!F302,"")</f>
      </c>
      <c r="E311" s="213">
        <f>IF($F311+$P311&lt;&gt;0,'CHUNG TU'!H302,"")</f>
      </c>
      <c r="F311" s="213">
        <f>IF(LEFT('CHUNG TU'!I302,3)='CPSXKD 642_yếu tố'!$H$7,'CHUNG TU'!$L302,0)</f>
        <v>0</v>
      </c>
      <c r="G311" s="213">
        <f>IF(G$10='CHUNG TU'!$I302,'CHUNG TU'!$L302,0)</f>
        <v>0</v>
      </c>
      <c r="H311" s="213">
        <f>IF(H$10='CHUNG TU'!$I302,'CHUNG TU'!$L302,0)</f>
        <v>0</v>
      </c>
      <c r="I311" s="213">
        <f>IF(I$10='CHUNG TU'!$I302,'CHUNG TU'!$L302,0)</f>
        <v>0</v>
      </c>
      <c r="J311" s="213">
        <f>IF(J$10='CHUNG TU'!$I302,'CHUNG TU'!$L302,0)</f>
        <v>0</v>
      </c>
      <c r="K311" s="213">
        <f>IF(K$10='CHUNG TU'!$I302,'CHUNG TU'!$L302,0)</f>
        <v>0</v>
      </c>
      <c r="L311" s="213">
        <f>IF(L$10='CHUNG TU'!$I302,'CHUNG TU'!$L302,0)</f>
        <v>0</v>
      </c>
      <c r="M311" s="213">
        <f>IF(M$10='CHUNG TU'!$I302,'CHUNG TU'!$L302,0)</f>
        <v>0</v>
      </c>
      <c r="N311" s="213">
        <f>IF(N$10='CHUNG TU'!$I302,'CHUNG TU'!$L302,0)</f>
        <v>0</v>
      </c>
      <c r="O311" s="213">
        <f>IF(F311&lt;&gt;0,'CHUNG TU'!J302,"")</f>
      </c>
      <c r="P311" s="213">
        <f>IF(LEFT('CHUNG TU'!J302,3)='CPSXKD 642_yếu tố'!$H$7,'CHUNG TU'!$L302,0)</f>
        <v>0</v>
      </c>
      <c r="Q311" s="213">
        <f>IF(P311&lt;&gt;0,'CHUNG TU'!I302,"")</f>
      </c>
    </row>
    <row r="312" spans="2:17" ht="12.75">
      <c r="B312" s="213">
        <f>IF($F312+$P312&lt;&gt;0,'CHUNG TU'!A303,"")</f>
      </c>
      <c r="C312" s="213">
        <f>IF($F312+$P312&lt;&gt;0,IF('CHUNG TU'!B303&lt;&gt;"",'CHUNG TU'!B303,IF('CHUNG TU'!C303&lt;&gt;"",'CHUNG TU'!C303,'CHUNG TU'!D303)),"")</f>
      </c>
      <c r="D312" s="213">
        <f>IF($F312+$P312&lt;&gt;0,'CHUNG TU'!F303,"")</f>
      </c>
      <c r="E312" s="213">
        <f>IF($F312+$P312&lt;&gt;0,'CHUNG TU'!H303,"")</f>
      </c>
      <c r="F312" s="213">
        <f>IF(LEFT('CHUNG TU'!I303,3)='CPSXKD 642_yếu tố'!$H$7,'CHUNG TU'!$L303,0)</f>
        <v>0</v>
      </c>
      <c r="G312" s="213">
        <f>IF(G$10='CHUNG TU'!$I303,'CHUNG TU'!$L303,0)</f>
        <v>0</v>
      </c>
      <c r="H312" s="213">
        <f>IF(H$10='CHUNG TU'!$I303,'CHUNG TU'!$L303,0)</f>
        <v>0</v>
      </c>
      <c r="I312" s="213">
        <f>IF(I$10='CHUNG TU'!$I303,'CHUNG TU'!$L303,0)</f>
        <v>0</v>
      </c>
      <c r="J312" s="213">
        <f>IF(J$10='CHUNG TU'!$I303,'CHUNG TU'!$L303,0)</f>
        <v>0</v>
      </c>
      <c r="K312" s="213">
        <f>IF(K$10='CHUNG TU'!$I303,'CHUNG TU'!$L303,0)</f>
        <v>0</v>
      </c>
      <c r="L312" s="213">
        <f>IF(L$10='CHUNG TU'!$I303,'CHUNG TU'!$L303,0)</f>
        <v>0</v>
      </c>
      <c r="M312" s="213">
        <f>IF(M$10='CHUNG TU'!$I303,'CHUNG TU'!$L303,0)</f>
        <v>0</v>
      </c>
      <c r="N312" s="213">
        <f>IF(N$10='CHUNG TU'!$I303,'CHUNG TU'!$L303,0)</f>
        <v>0</v>
      </c>
      <c r="O312" s="213">
        <f>IF(F312&lt;&gt;0,'CHUNG TU'!J303,"")</f>
      </c>
      <c r="P312" s="213">
        <f>IF(LEFT('CHUNG TU'!J303,3)='CPSXKD 642_yếu tố'!$H$7,'CHUNG TU'!$L303,0)</f>
        <v>0</v>
      </c>
      <c r="Q312" s="213">
        <f>IF(P312&lt;&gt;0,'CHUNG TU'!I303,"")</f>
      </c>
    </row>
    <row r="313" spans="2:17" ht="12.75">
      <c r="B313" s="213">
        <f>IF($F313+$P313&lt;&gt;0,'CHUNG TU'!A304,"")</f>
      </c>
      <c r="C313" s="213">
        <f>IF($F313+$P313&lt;&gt;0,IF('CHUNG TU'!B304&lt;&gt;"",'CHUNG TU'!B304,IF('CHUNG TU'!C304&lt;&gt;"",'CHUNG TU'!C304,'CHUNG TU'!D304)),"")</f>
      </c>
      <c r="D313" s="213">
        <f>IF($F313+$P313&lt;&gt;0,'CHUNG TU'!F304,"")</f>
      </c>
      <c r="E313" s="213">
        <f>IF($F313+$P313&lt;&gt;0,'CHUNG TU'!H304,"")</f>
      </c>
      <c r="F313" s="213">
        <f>IF(LEFT('CHUNG TU'!I304,3)='CPSXKD 642_yếu tố'!$H$7,'CHUNG TU'!$L304,0)</f>
        <v>0</v>
      </c>
      <c r="G313" s="213">
        <f>IF(G$10='CHUNG TU'!$I304,'CHUNG TU'!$L304,0)</f>
        <v>0</v>
      </c>
      <c r="H313" s="213">
        <f>IF(H$10='CHUNG TU'!$I304,'CHUNG TU'!$L304,0)</f>
        <v>0</v>
      </c>
      <c r="I313" s="213">
        <f>IF(I$10='CHUNG TU'!$I304,'CHUNG TU'!$L304,0)</f>
        <v>0</v>
      </c>
      <c r="J313" s="213">
        <f>IF(J$10='CHUNG TU'!$I304,'CHUNG TU'!$L304,0)</f>
        <v>0</v>
      </c>
      <c r="K313" s="213">
        <f>IF(K$10='CHUNG TU'!$I304,'CHUNG TU'!$L304,0)</f>
        <v>0</v>
      </c>
      <c r="L313" s="213">
        <f>IF(L$10='CHUNG TU'!$I304,'CHUNG TU'!$L304,0)</f>
        <v>0</v>
      </c>
      <c r="M313" s="213">
        <f>IF(M$10='CHUNG TU'!$I304,'CHUNG TU'!$L304,0)</f>
        <v>0</v>
      </c>
      <c r="N313" s="213">
        <f>IF(N$10='CHUNG TU'!$I304,'CHUNG TU'!$L304,0)</f>
        <v>0</v>
      </c>
      <c r="O313" s="213">
        <f>IF(F313&lt;&gt;0,'CHUNG TU'!J304,"")</f>
      </c>
      <c r="P313" s="213">
        <f>IF(LEFT('CHUNG TU'!J304,3)='CPSXKD 642_yếu tố'!$H$7,'CHUNG TU'!$L304,0)</f>
        <v>0</v>
      </c>
      <c r="Q313" s="213">
        <f>IF(P313&lt;&gt;0,'CHUNG TU'!I304,"")</f>
      </c>
    </row>
    <row r="314" spans="2:17" ht="12.75">
      <c r="B314" s="213">
        <f>IF($F314+$P314&lt;&gt;0,'CHUNG TU'!A305,"")</f>
      </c>
      <c r="C314" s="213">
        <f>IF($F314+$P314&lt;&gt;0,IF('CHUNG TU'!B305&lt;&gt;"",'CHUNG TU'!B305,IF('CHUNG TU'!C305&lt;&gt;"",'CHUNG TU'!C305,'CHUNG TU'!D305)),"")</f>
      </c>
      <c r="D314" s="213">
        <f>IF($F314+$P314&lt;&gt;0,'CHUNG TU'!F305,"")</f>
      </c>
      <c r="E314" s="213">
        <f>IF($F314+$P314&lt;&gt;0,'CHUNG TU'!H305,"")</f>
      </c>
      <c r="F314" s="213">
        <f>IF(LEFT('CHUNG TU'!I305,3)='CPSXKD 642_yếu tố'!$H$7,'CHUNG TU'!$L305,0)</f>
        <v>0</v>
      </c>
      <c r="G314" s="213">
        <f>IF(G$10='CHUNG TU'!$I305,'CHUNG TU'!$L305,0)</f>
        <v>0</v>
      </c>
      <c r="H314" s="213">
        <f>IF(H$10='CHUNG TU'!$I305,'CHUNG TU'!$L305,0)</f>
        <v>0</v>
      </c>
      <c r="I314" s="213">
        <f>IF(I$10='CHUNG TU'!$I305,'CHUNG TU'!$L305,0)</f>
        <v>0</v>
      </c>
      <c r="J314" s="213">
        <f>IF(J$10='CHUNG TU'!$I305,'CHUNG TU'!$L305,0)</f>
        <v>0</v>
      </c>
      <c r="K314" s="213">
        <f>IF(K$10='CHUNG TU'!$I305,'CHUNG TU'!$L305,0)</f>
        <v>0</v>
      </c>
      <c r="L314" s="213">
        <f>IF(L$10='CHUNG TU'!$I305,'CHUNG TU'!$L305,0)</f>
        <v>0</v>
      </c>
      <c r="M314" s="213">
        <f>IF(M$10='CHUNG TU'!$I305,'CHUNG TU'!$L305,0)</f>
        <v>0</v>
      </c>
      <c r="N314" s="213">
        <f>IF(N$10='CHUNG TU'!$I305,'CHUNG TU'!$L305,0)</f>
        <v>0</v>
      </c>
      <c r="O314" s="213">
        <f>IF(F314&lt;&gt;0,'CHUNG TU'!J305,"")</f>
      </c>
      <c r="P314" s="213">
        <f>IF(LEFT('CHUNG TU'!J305,3)='CPSXKD 642_yếu tố'!$H$7,'CHUNG TU'!$L305,0)</f>
        <v>0</v>
      </c>
      <c r="Q314" s="213">
        <f>IF(P314&lt;&gt;0,'CHUNG TU'!I305,"")</f>
      </c>
    </row>
    <row r="315" spans="2:17" ht="12.75">
      <c r="B315" s="213">
        <f>IF($F315+$P315&lt;&gt;0,'CHUNG TU'!A306,"")</f>
      </c>
      <c r="C315" s="213">
        <f>IF($F315+$P315&lt;&gt;0,IF('CHUNG TU'!B306&lt;&gt;"",'CHUNG TU'!B306,IF('CHUNG TU'!C306&lt;&gt;"",'CHUNG TU'!C306,'CHUNG TU'!D306)),"")</f>
      </c>
      <c r="D315" s="213">
        <f>IF($F315+$P315&lt;&gt;0,'CHUNG TU'!F306,"")</f>
      </c>
      <c r="E315" s="213">
        <f>IF($F315+$P315&lt;&gt;0,'CHUNG TU'!H306,"")</f>
      </c>
      <c r="F315" s="213">
        <f>IF(LEFT('CHUNG TU'!I306,3)='CPSXKD 642_yếu tố'!$H$7,'CHUNG TU'!$L306,0)</f>
        <v>0</v>
      </c>
      <c r="G315" s="213">
        <f>IF(G$10='CHUNG TU'!$I306,'CHUNG TU'!$L306,0)</f>
        <v>0</v>
      </c>
      <c r="H315" s="213">
        <f>IF(H$10='CHUNG TU'!$I306,'CHUNG TU'!$L306,0)</f>
        <v>0</v>
      </c>
      <c r="I315" s="213">
        <f>IF(I$10='CHUNG TU'!$I306,'CHUNG TU'!$L306,0)</f>
        <v>0</v>
      </c>
      <c r="J315" s="213">
        <f>IF(J$10='CHUNG TU'!$I306,'CHUNG TU'!$L306,0)</f>
        <v>0</v>
      </c>
      <c r="K315" s="213">
        <f>IF(K$10='CHUNG TU'!$I306,'CHUNG TU'!$L306,0)</f>
        <v>0</v>
      </c>
      <c r="L315" s="213">
        <f>IF(L$10='CHUNG TU'!$I306,'CHUNG TU'!$L306,0)</f>
        <v>0</v>
      </c>
      <c r="M315" s="213">
        <f>IF(M$10='CHUNG TU'!$I306,'CHUNG TU'!$L306,0)</f>
        <v>0</v>
      </c>
      <c r="N315" s="213">
        <f>IF(N$10='CHUNG TU'!$I306,'CHUNG TU'!$L306,0)</f>
        <v>0</v>
      </c>
      <c r="O315" s="213">
        <f>IF(F315&lt;&gt;0,'CHUNG TU'!J306,"")</f>
      </c>
      <c r="P315" s="213">
        <f>IF(LEFT('CHUNG TU'!J306,3)='CPSXKD 642_yếu tố'!$H$7,'CHUNG TU'!$L306,0)</f>
        <v>0</v>
      </c>
      <c r="Q315" s="213">
        <f>IF(P315&lt;&gt;0,'CHUNG TU'!I306,"")</f>
      </c>
    </row>
    <row r="316" spans="2:17" ht="12.75">
      <c r="B316" s="213">
        <f>IF($F316+$P316&lt;&gt;0,'CHUNG TU'!A307,"")</f>
      </c>
      <c r="C316" s="213">
        <f>IF($F316+$P316&lt;&gt;0,IF('CHUNG TU'!B307&lt;&gt;"",'CHUNG TU'!B307,IF('CHUNG TU'!C307&lt;&gt;"",'CHUNG TU'!C307,'CHUNG TU'!D307)),"")</f>
      </c>
      <c r="D316" s="213">
        <f>IF($F316+$P316&lt;&gt;0,'CHUNG TU'!F307,"")</f>
      </c>
      <c r="E316" s="213">
        <f>IF($F316+$P316&lt;&gt;0,'CHUNG TU'!H307,"")</f>
      </c>
      <c r="F316" s="213">
        <f>IF(LEFT('CHUNG TU'!I307,3)='CPSXKD 642_yếu tố'!$H$7,'CHUNG TU'!$L307,0)</f>
        <v>0</v>
      </c>
      <c r="G316" s="213">
        <f>IF(G$10='CHUNG TU'!$I307,'CHUNG TU'!$L307,0)</f>
        <v>0</v>
      </c>
      <c r="H316" s="213">
        <f>IF(H$10='CHUNG TU'!$I307,'CHUNG TU'!$L307,0)</f>
        <v>0</v>
      </c>
      <c r="I316" s="213">
        <f>IF(I$10='CHUNG TU'!$I307,'CHUNG TU'!$L307,0)</f>
        <v>0</v>
      </c>
      <c r="J316" s="213">
        <f>IF(J$10='CHUNG TU'!$I307,'CHUNG TU'!$L307,0)</f>
        <v>0</v>
      </c>
      <c r="K316" s="213">
        <f>IF(K$10='CHUNG TU'!$I307,'CHUNG TU'!$L307,0)</f>
        <v>0</v>
      </c>
      <c r="L316" s="213">
        <f>IF(L$10='CHUNG TU'!$I307,'CHUNG TU'!$L307,0)</f>
        <v>0</v>
      </c>
      <c r="M316" s="213">
        <f>IF(M$10='CHUNG TU'!$I307,'CHUNG TU'!$L307,0)</f>
        <v>0</v>
      </c>
      <c r="N316" s="213">
        <f>IF(N$10='CHUNG TU'!$I307,'CHUNG TU'!$L307,0)</f>
        <v>0</v>
      </c>
      <c r="O316" s="213">
        <f>IF(F316&lt;&gt;0,'CHUNG TU'!J307,"")</f>
      </c>
      <c r="P316" s="213">
        <f>IF(LEFT('CHUNG TU'!J307,3)='CPSXKD 642_yếu tố'!$H$7,'CHUNG TU'!$L307,0)</f>
        <v>0</v>
      </c>
      <c r="Q316" s="213">
        <f>IF(P316&lt;&gt;0,'CHUNG TU'!I307,"")</f>
      </c>
    </row>
    <row r="317" spans="2:17" ht="12.75">
      <c r="B317" s="213">
        <f>IF($F317+$P317&lt;&gt;0,'CHUNG TU'!A308,"")</f>
      </c>
      <c r="C317" s="213">
        <f>IF($F317+$P317&lt;&gt;0,IF('CHUNG TU'!B308&lt;&gt;"",'CHUNG TU'!B308,IF('CHUNG TU'!C308&lt;&gt;"",'CHUNG TU'!C308,'CHUNG TU'!D308)),"")</f>
      </c>
      <c r="D317" s="213">
        <f>IF($F317+$P317&lt;&gt;0,'CHUNG TU'!F308,"")</f>
      </c>
      <c r="E317" s="213">
        <f>IF($F317+$P317&lt;&gt;0,'CHUNG TU'!H308,"")</f>
      </c>
      <c r="F317" s="213">
        <f>IF(LEFT('CHUNG TU'!I308,3)='CPSXKD 642_yếu tố'!$H$7,'CHUNG TU'!$L308,0)</f>
        <v>0</v>
      </c>
      <c r="G317" s="213">
        <f>IF(G$10='CHUNG TU'!$I308,'CHUNG TU'!$L308,0)</f>
        <v>0</v>
      </c>
      <c r="H317" s="213">
        <f>IF(H$10='CHUNG TU'!$I308,'CHUNG TU'!$L308,0)</f>
        <v>0</v>
      </c>
      <c r="I317" s="213">
        <f>IF(I$10='CHUNG TU'!$I308,'CHUNG TU'!$L308,0)</f>
        <v>0</v>
      </c>
      <c r="J317" s="213">
        <f>IF(J$10='CHUNG TU'!$I308,'CHUNG TU'!$L308,0)</f>
        <v>0</v>
      </c>
      <c r="K317" s="213">
        <f>IF(K$10='CHUNG TU'!$I308,'CHUNG TU'!$L308,0)</f>
        <v>0</v>
      </c>
      <c r="L317" s="213">
        <f>IF(L$10='CHUNG TU'!$I308,'CHUNG TU'!$L308,0)</f>
        <v>0</v>
      </c>
      <c r="M317" s="213">
        <f>IF(M$10='CHUNG TU'!$I308,'CHUNG TU'!$L308,0)</f>
        <v>0</v>
      </c>
      <c r="N317" s="213">
        <f>IF(N$10='CHUNG TU'!$I308,'CHUNG TU'!$L308,0)</f>
        <v>0</v>
      </c>
      <c r="O317" s="213">
        <f>IF(F317&lt;&gt;0,'CHUNG TU'!J308,"")</f>
      </c>
      <c r="P317" s="213">
        <f>IF(LEFT('CHUNG TU'!J308,3)='CPSXKD 642_yếu tố'!$H$7,'CHUNG TU'!$L308,0)</f>
        <v>0</v>
      </c>
      <c r="Q317" s="213">
        <f>IF(P317&lt;&gt;0,'CHUNG TU'!I308,"")</f>
      </c>
    </row>
    <row r="318" spans="2:17" ht="12.75">
      <c r="B318" s="213">
        <f>IF($F318+$P318&lt;&gt;0,'CHUNG TU'!A309,"")</f>
      </c>
      <c r="C318" s="213">
        <f>IF($F318+$P318&lt;&gt;0,IF('CHUNG TU'!B309&lt;&gt;"",'CHUNG TU'!B309,IF('CHUNG TU'!C309&lt;&gt;"",'CHUNG TU'!C309,'CHUNG TU'!D309)),"")</f>
      </c>
      <c r="D318" s="213">
        <f>IF($F318+$P318&lt;&gt;0,'CHUNG TU'!F309,"")</f>
      </c>
      <c r="E318" s="213">
        <f>IF($F318+$P318&lt;&gt;0,'CHUNG TU'!H309,"")</f>
      </c>
      <c r="F318" s="213">
        <f>IF(LEFT('CHUNG TU'!I309,3)='CPSXKD 642_yếu tố'!$H$7,'CHUNG TU'!$L309,0)</f>
        <v>0</v>
      </c>
      <c r="G318" s="213">
        <f>IF(G$10='CHUNG TU'!$I309,'CHUNG TU'!$L309,0)</f>
        <v>0</v>
      </c>
      <c r="H318" s="213">
        <f>IF(H$10='CHUNG TU'!$I309,'CHUNG TU'!$L309,0)</f>
        <v>0</v>
      </c>
      <c r="I318" s="213">
        <f>IF(I$10='CHUNG TU'!$I309,'CHUNG TU'!$L309,0)</f>
        <v>0</v>
      </c>
      <c r="J318" s="213">
        <f>IF(J$10='CHUNG TU'!$I309,'CHUNG TU'!$L309,0)</f>
        <v>0</v>
      </c>
      <c r="K318" s="213">
        <f>IF(K$10='CHUNG TU'!$I309,'CHUNG TU'!$L309,0)</f>
        <v>0</v>
      </c>
      <c r="L318" s="213">
        <f>IF(L$10='CHUNG TU'!$I309,'CHUNG TU'!$L309,0)</f>
        <v>0</v>
      </c>
      <c r="M318" s="213">
        <f>IF(M$10='CHUNG TU'!$I309,'CHUNG TU'!$L309,0)</f>
        <v>0</v>
      </c>
      <c r="N318" s="213">
        <f>IF(N$10='CHUNG TU'!$I309,'CHUNG TU'!$L309,0)</f>
        <v>0</v>
      </c>
      <c r="O318" s="213">
        <f>IF(F318&lt;&gt;0,'CHUNG TU'!J309,"")</f>
      </c>
      <c r="P318" s="213">
        <f>IF(LEFT('CHUNG TU'!J309,3)='CPSXKD 642_yếu tố'!$H$7,'CHUNG TU'!$L309,0)</f>
        <v>0</v>
      </c>
      <c r="Q318" s="213">
        <f>IF(P318&lt;&gt;0,'CHUNG TU'!I309,"")</f>
      </c>
    </row>
    <row r="319" spans="2:17" ht="12.75">
      <c r="B319" s="213">
        <f>IF($F319+$P319&lt;&gt;0,'CHUNG TU'!A310,"")</f>
      </c>
      <c r="C319" s="213">
        <f>IF($F319+$P319&lt;&gt;0,IF('CHUNG TU'!B310&lt;&gt;"",'CHUNG TU'!B310,IF('CHUNG TU'!C310&lt;&gt;"",'CHUNG TU'!C310,'CHUNG TU'!D310)),"")</f>
      </c>
      <c r="D319" s="213">
        <f>IF($F319+$P319&lt;&gt;0,'CHUNG TU'!F310,"")</f>
      </c>
      <c r="E319" s="213">
        <f>IF($F319+$P319&lt;&gt;0,'CHUNG TU'!H310,"")</f>
      </c>
      <c r="F319" s="213">
        <f>IF(LEFT('CHUNG TU'!I310,3)='CPSXKD 642_yếu tố'!$H$7,'CHUNG TU'!$L310,0)</f>
        <v>0</v>
      </c>
      <c r="G319" s="213">
        <f>IF(G$10='CHUNG TU'!$I310,'CHUNG TU'!$L310,0)</f>
        <v>0</v>
      </c>
      <c r="H319" s="213">
        <f>IF(H$10='CHUNG TU'!$I310,'CHUNG TU'!$L310,0)</f>
        <v>0</v>
      </c>
      <c r="I319" s="213">
        <f>IF(I$10='CHUNG TU'!$I310,'CHUNG TU'!$L310,0)</f>
        <v>0</v>
      </c>
      <c r="J319" s="213">
        <f>IF(J$10='CHUNG TU'!$I310,'CHUNG TU'!$L310,0)</f>
        <v>0</v>
      </c>
      <c r="K319" s="213">
        <f>IF(K$10='CHUNG TU'!$I310,'CHUNG TU'!$L310,0)</f>
        <v>0</v>
      </c>
      <c r="L319" s="213">
        <f>IF(L$10='CHUNG TU'!$I310,'CHUNG TU'!$L310,0)</f>
        <v>0</v>
      </c>
      <c r="M319" s="213">
        <f>IF(M$10='CHUNG TU'!$I310,'CHUNG TU'!$L310,0)</f>
        <v>0</v>
      </c>
      <c r="N319" s="213">
        <f>IF(N$10='CHUNG TU'!$I310,'CHUNG TU'!$L310,0)</f>
        <v>0</v>
      </c>
      <c r="O319" s="213">
        <f>IF(F319&lt;&gt;0,'CHUNG TU'!J310,"")</f>
      </c>
      <c r="P319" s="213">
        <f>IF(LEFT('CHUNG TU'!J310,3)='CPSXKD 642_yếu tố'!$H$7,'CHUNG TU'!$L310,0)</f>
        <v>0</v>
      </c>
      <c r="Q319" s="213">
        <f>IF(P319&lt;&gt;0,'CHUNG TU'!I310,"")</f>
      </c>
    </row>
    <row r="320" spans="2:17" ht="12.75">
      <c r="B320" s="213">
        <f>IF($F320+$P320&lt;&gt;0,'CHUNG TU'!A311,"")</f>
      </c>
      <c r="C320" s="213">
        <f>IF($F320+$P320&lt;&gt;0,IF('CHUNG TU'!B311&lt;&gt;"",'CHUNG TU'!B311,IF('CHUNG TU'!C311&lt;&gt;"",'CHUNG TU'!C311,'CHUNG TU'!D311)),"")</f>
      </c>
      <c r="D320" s="213">
        <f>IF($F320+$P320&lt;&gt;0,'CHUNG TU'!F311,"")</f>
      </c>
      <c r="E320" s="213">
        <f>IF($F320+$P320&lt;&gt;0,'CHUNG TU'!H311,"")</f>
      </c>
      <c r="F320" s="213">
        <f>IF(LEFT('CHUNG TU'!I311,3)='CPSXKD 642_yếu tố'!$H$7,'CHUNG TU'!$L311,0)</f>
        <v>0</v>
      </c>
      <c r="G320" s="213">
        <f>IF(G$10='CHUNG TU'!$I311,'CHUNG TU'!$L311,0)</f>
        <v>0</v>
      </c>
      <c r="H320" s="213">
        <f>IF(H$10='CHUNG TU'!$I311,'CHUNG TU'!$L311,0)</f>
        <v>0</v>
      </c>
      <c r="I320" s="213">
        <f>IF(I$10='CHUNG TU'!$I311,'CHUNG TU'!$L311,0)</f>
        <v>0</v>
      </c>
      <c r="J320" s="213">
        <f>IF(J$10='CHUNG TU'!$I311,'CHUNG TU'!$L311,0)</f>
        <v>0</v>
      </c>
      <c r="K320" s="213">
        <f>IF(K$10='CHUNG TU'!$I311,'CHUNG TU'!$L311,0)</f>
        <v>0</v>
      </c>
      <c r="L320" s="213">
        <f>IF(L$10='CHUNG TU'!$I311,'CHUNG TU'!$L311,0)</f>
        <v>0</v>
      </c>
      <c r="M320" s="213">
        <f>IF(M$10='CHUNG TU'!$I311,'CHUNG TU'!$L311,0)</f>
        <v>0</v>
      </c>
      <c r="N320" s="213">
        <f>IF(N$10='CHUNG TU'!$I311,'CHUNG TU'!$L311,0)</f>
        <v>0</v>
      </c>
      <c r="O320" s="213">
        <f>IF(F320&lt;&gt;0,'CHUNG TU'!J311,"")</f>
      </c>
      <c r="P320" s="213">
        <f>IF(LEFT('CHUNG TU'!J311,3)='CPSXKD 642_yếu tố'!$H$7,'CHUNG TU'!$L311,0)</f>
        <v>0</v>
      </c>
      <c r="Q320" s="213">
        <f>IF(P320&lt;&gt;0,'CHUNG TU'!I311,"")</f>
      </c>
    </row>
    <row r="321" spans="2:17" ht="12.75">
      <c r="B321" s="213">
        <f>IF($F321+$P321&lt;&gt;0,'CHUNG TU'!A312,"")</f>
      </c>
      <c r="C321" s="213">
        <f>IF($F321+$P321&lt;&gt;0,IF('CHUNG TU'!B312&lt;&gt;"",'CHUNG TU'!B312,IF('CHUNG TU'!C312&lt;&gt;"",'CHUNG TU'!C312,'CHUNG TU'!D312)),"")</f>
      </c>
      <c r="D321" s="213">
        <f>IF($F321+$P321&lt;&gt;0,'CHUNG TU'!F312,"")</f>
      </c>
      <c r="E321" s="213">
        <f>IF($F321+$P321&lt;&gt;0,'CHUNG TU'!H312,"")</f>
      </c>
      <c r="F321" s="213">
        <f>IF(LEFT('CHUNG TU'!I312,3)='CPSXKD 642_yếu tố'!$H$7,'CHUNG TU'!$L312,0)</f>
        <v>0</v>
      </c>
      <c r="G321" s="213">
        <f>IF(G$10='CHUNG TU'!$I312,'CHUNG TU'!$L312,0)</f>
        <v>0</v>
      </c>
      <c r="H321" s="213">
        <f>IF(H$10='CHUNG TU'!$I312,'CHUNG TU'!$L312,0)</f>
        <v>0</v>
      </c>
      <c r="I321" s="213">
        <f>IF(I$10='CHUNG TU'!$I312,'CHUNG TU'!$L312,0)</f>
        <v>0</v>
      </c>
      <c r="J321" s="213">
        <f>IF(J$10='CHUNG TU'!$I312,'CHUNG TU'!$L312,0)</f>
        <v>0</v>
      </c>
      <c r="K321" s="213">
        <f>IF(K$10='CHUNG TU'!$I312,'CHUNG TU'!$L312,0)</f>
        <v>0</v>
      </c>
      <c r="L321" s="213">
        <f>IF(L$10='CHUNG TU'!$I312,'CHUNG TU'!$L312,0)</f>
        <v>0</v>
      </c>
      <c r="M321" s="213">
        <f>IF(M$10='CHUNG TU'!$I312,'CHUNG TU'!$L312,0)</f>
        <v>0</v>
      </c>
      <c r="N321" s="213">
        <f>IF(N$10='CHUNG TU'!$I312,'CHUNG TU'!$L312,0)</f>
        <v>0</v>
      </c>
      <c r="O321" s="213">
        <f>IF(F321&lt;&gt;0,'CHUNG TU'!J312,"")</f>
      </c>
      <c r="P321" s="213">
        <f>IF(LEFT('CHUNG TU'!J312,3)='CPSXKD 642_yếu tố'!$H$7,'CHUNG TU'!$L312,0)</f>
        <v>0</v>
      </c>
      <c r="Q321" s="213">
        <f>IF(P321&lt;&gt;0,'CHUNG TU'!I312,"")</f>
      </c>
    </row>
    <row r="322" spans="2:17" ht="12.75">
      <c r="B322" s="213">
        <f>IF($F322+$P322&lt;&gt;0,'CHUNG TU'!A313,"")</f>
      </c>
      <c r="C322" s="213">
        <f>IF($F322+$P322&lt;&gt;0,IF('CHUNG TU'!B313&lt;&gt;"",'CHUNG TU'!B313,IF('CHUNG TU'!C313&lt;&gt;"",'CHUNG TU'!C313,'CHUNG TU'!D313)),"")</f>
      </c>
      <c r="D322" s="213">
        <f>IF($F322+$P322&lt;&gt;0,'CHUNG TU'!F313,"")</f>
      </c>
      <c r="E322" s="213">
        <f>IF($F322+$P322&lt;&gt;0,'CHUNG TU'!H313,"")</f>
      </c>
      <c r="F322" s="213">
        <f>IF(LEFT('CHUNG TU'!I313,3)='CPSXKD 642_yếu tố'!$H$7,'CHUNG TU'!$L313,0)</f>
        <v>0</v>
      </c>
      <c r="G322" s="213">
        <f>IF(G$10='CHUNG TU'!$I313,'CHUNG TU'!$L313,0)</f>
        <v>0</v>
      </c>
      <c r="H322" s="213">
        <f>IF(H$10='CHUNG TU'!$I313,'CHUNG TU'!$L313,0)</f>
        <v>0</v>
      </c>
      <c r="I322" s="213">
        <f>IF(I$10='CHUNG TU'!$I313,'CHUNG TU'!$L313,0)</f>
        <v>0</v>
      </c>
      <c r="J322" s="213">
        <f>IF(J$10='CHUNG TU'!$I313,'CHUNG TU'!$L313,0)</f>
        <v>0</v>
      </c>
      <c r="K322" s="213">
        <f>IF(K$10='CHUNG TU'!$I313,'CHUNG TU'!$L313,0)</f>
        <v>0</v>
      </c>
      <c r="L322" s="213">
        <f>IF(L$10='CHUNG TU'!$I313,'CHUNG TU'!$L313,0)</f>
        <v>0</v>
      </c>
      <c r="M322" s="213">
        <f>IF(M$10='CHUNG TU'!$I313,'CHUNG TU'!$L313,0)</f>
        <v>0</v>
      </c>
      <c r="N322" s="213">
        <f>IF(N$10='CHUNG TU'!$I313,'CHUNG TU'!$L313,0)</f>
        <v>0</v>
      </c>
      <c r="O322" s="213">
        <f>IF(F322&lt;&gt;0,'CHUNG TU'!J313,"")</f>
      </c>
      <c r="P322" s="213">
        <f>IF(LEFT('CHUNG TU'!J313,3)='CPSXKD 642_yếu tố'!$H$7,'CHUNG TU'!$L313,0)</f>
        <v>0</v>
      </c>
      <c r="Q322" s="213">
        <f>IF(P322&lt;&gt;0,'CHUNG TU'!I313,"")</f>
      </c>
    </row>
    <row r="323" spans="2:17" ht="12.75">
      <c r="B323" s="213" t="str">
        <f>IF($F323+$P323&lt;&gt;0,'CHUNG TU'!A314,"")</f>
        <v>31/10/2020</v>
      </c>
      <c r="C323" s="213" t="str">
        <f>IF($F323+$P323&lt;&gt;0,IF('CHUNG TU'!B314&lt;&gt;"",'CHUNG TU'!B314,IF('CHUNG TU'!C314&lt;&gt;"",'CHUNG TU'!C314,'CHUNG TU'!D314)),"")</f>
        <v>PKT10/113</v>
      </c>
      <c r="D323" s="213" t="str">
        <f>IF($F323+$P323&lt;&gt;0,'CHUNG TU'!F314,"")</f>
        <v>31/10/2020</v>
      </c>
      <c r="E323" s="213" t="str">
        <f>IF($F323+$P323&lt;&gt;0,'CHUNG TU'!H314,"")</f>
        <v>Kết chuyển chi phí QLDN</v>
      </c>
      <c r="F323" s="213">
        <f>IF(LEFT('CHUNG TU'!I314,3)='CPSXKD 642_yếu tố'!$H$7,'CHUNG TU'!$L314,0)</f>
        <v>0</v>
      </c>
      <c r="G323" s="213">
        <f>IF(G$10='CHUNG TU'!$I314,'CHUNG TU'!$L314,0)</f>
        <v>0</v>
      </c>
      <c r="H323" s="213">
        <f>IF(H$10='CHUNG TU'!$I314,'CHUNG TU'!$L314,0)</f>
        <v>0</v>
      </c>
      <c r="I323" s="213">
        <f>IF(I$10='CHUNG TU'!$I314,'CHUNG TU'!$L314,0)</f>
        <v>0</v>
      </c>
      <c r="J323" s="213">
        <f>IF(J$10='CHUNG TU'!$I314,'CHUNG TU'!$L314,0)</f>
        <v>0</v>
      </c>
      <c r="K323" s="213">
        <f>IF(K$10='CHUNG TU'!$I314,'CHUNG TU'!$L314,0)</f>
        <v>0</v>
      </c>
      <c r="L323" s="213">
        <f>IF(L$10='CHUNG TU'!$I314,'CHUNG TU'!$L314,0)</f>
        <v>0</v>
      </c>
      <c r="M323" s="213">
        <f>IF(M$10='CHUNG TU'!$I314,'CHUNG TU'!$L314,0)</f>
        <v>0</v>
      </c>
      <c r="N323" s="213">
        <f>IF(N$10='CHUNG TU'!$I314,'CHUNG TU'!$L314,0)</f>
        <v>0</v>
      </c>
      <c r="O323" s="213">
        <f>IF(F323&lt;&gt;0,'CHUNG TU'!J314,"")</f>
      </c>
      <c r="P323" s="213">
        <f>IF(LEFT('CHUNG TU'!J314,3)='CPSXKD 642_yếu tố'!$H$7,'CHUNG TU'!$L314,0)</f>
        <v>111510888.8888889</v>
      </c>
      <c r="Q323" s="213" t="str">
        <f>IF(P323&lt;&gt;0,'CHUNG TU'!I314,"")</f>
        <v>911</v>
      </c>
    </row>
    <row r="324" spans="2:17" ht="12.75">
      <c r="B324" s="213" t="str">
        <f>IF($F324+$P324&lt;&gt;0,'CHUNG TU'!A315,"")</f>
        <v>31/10/2020</v>
      </c>
      <c r="C324" s="213" t="str">
        <f>IF($F324+$P324&lt;&gt;0,IF('CHUNG TU'!B315&lt;&gt;"",'CHUNG TU'!B315,IF('CHUNG TU'!C315&lt;&gt;"",'CHUNG TU'!C315,'CHUNG TU'!D315)),"")</f>
        <v>PKT10/113</v>
      </c>
      <c r="D324" s="213" t="str">
        <f>IF($F324+$P324&lt;&gt;0,'CHUNG TU'!F315,"")</f>
        <v>31/10/2020</v>
      </c>
      <c r="E324" s="213" t="str">
        <f>IF($F324+$P324&lt;&gt;0,'CHUNG TU'!H315,"")</f>
        <v>Kết chuyển chi phí QLDN</v>
      </c>
      <c r="F324" s="213">
        <f>IF(LEFT('CHUNG TU'!I315,3)='CPSXKD 642_yếu tố'!$H$7,'CHUNG TU'!$L315,0)</f>
        <v>0</v>
      </c>
      <c r="G324" s="213">
        <f>IF(G$10='CHUNG TU'!$I315,'CHUNG TU'!$L315,0)</f>
        <v>0</v>
      </c>
      <c r="H324" s="213">
        <f>IF(H$10='CHUNG TU'!$I315,'CHUNG TU'!$L315,0)</f>
        <v>0</v>
      </c>
      <c r="I324" s="213">
        <f>IF(I$10='CHUNG TU'!$I315,'CHUNG TU'!$L315,0)</f>
        <v>0</v>
      </c>
      <c r="J324" s="213">
        <f>IF(J$10='CHUNG TU'!$I315,'CHUNG TU'!$L315,0)</f>
        <v>0</v>
      </c>
      <c r="K324" s="213">
        <f>IF(K$10='CHUNG TU'!$I315,'CHUNG TU'!$L315,0)</f>
        <v>0</v>
      </c>
      <c r="L324" s="213">
        <f>IF(L$10='CHUNG TU'!$I315,'CHUNG TU'!$L315,0)</f>
        <v>0</v>
      </c>
      <c r="M324" s="213">
        <f>IF(M$10='CHUNG TU'!$I315,'CHUNG TU'!$L315,0)</f>
        <v>0</v>
      </c>
      <c r="N324" s="213">
        <f>IF(N$10='CHUNG TU'!$I315,'CHUNG TU'!$L315,0)</f>
        <v>0</v>
      </c>
      <c r="O324" s="213">
        <f>IF(F324&lt;&gt;0,'CHUNG TU'!J315,"")</f>
      </c>
      <c r="P324" s="213">
        <f>IF(LEFT('CHUNG TU'!J315,3)='CPSXKD 642_yếu tố'!$H$7,'CHUNG TU'!$L315,0)</f>
        <v>7596095</v>
      </c>
      <c r="Q324" s="213" t="str">
        <f>IF(P324&lt;&gt;0,'CHUNG TU'!I315,"")</f>
        <v>911</v>
      </c>
    </row>
    <row r="325" spans="2:17" ht="12.75">
      <c r="B325" s="213" t="str">
        <f>IF($F325+$P325&lt;&gt;0,'CHUNG TU'!A316,"")</f>
        <v>31/10/2020</v>
      </c>
      <c r="C325" s="213" t="str">
        <f>IF($F325+$P325&lt;&gt;0,IF('CHUNG TU'!B316&lt;&gt;"",'CHUNG TU'!B316,IF('CHUNG TU'!C316&lt;&gt;"",'CHUNG TU'!C316,'CHUNG TU'!D316)),"")</f>
        <v>PKT10/113</v>
      </c>
      <c r="D325" s="213" t="str">
        <f>IF($F325+$P325&lt;&gt;0,'CHUNG TU'!F316,"")</f>
        <v>31/10/2020</v>
      </c>
      <c r="E325" s="213" t="str">
        <f>IF($F325+$P325&lt;&gt;0,'CHUNG TU'!H316,"")</f>
        <v>Kết chuyển chi phí QLDN</v>
      </c>
      <c r="F325" s="213">
        <f>IF(LEFT('CHUNG TU'!I316,3)='CPSXKD 642_yếu tố'!$H$7,'CHUNG TU'!$L316,0)</f>
        <v>0</v>
      </c>
      <c r="G325" s="213">
        <f>IF(G$10='CHUNG TU'!$I316,'CHUNG TU'!$L316,0)</f>
        <v>0</v>
      </c>
      <c r="H325" s="213">
        <f>IF(H$10='CHUNG TU'!$I316,'CHUNG TU'!$L316,0)</f>
        <v>0</v>
      </c>
      <c r="I325" s="213">
        <f>IF(I$10='CHUNG TU'!$I316,'CHUNG TU'!$L316,0)</f>
        <v>0</v>
      </c>
      <c r="J325" s="213">
        <f>IF(J$10='CHUNG TU'!$I316,'CHUNG TU'!$L316,0)</f>
        <v>0</v>
      </c>
      <c r="K325" s="213">
        <f>IF(K$10='CHUNG TU'!$I316,'CHUNG TU'!$L316,0)</f>
        <v>0</v>
      </c>
      <c r="L325" s="213">
        <f>IF(L$10='CHUNG TU'!$I316,'CHUNG TU'!$L316,0)</f>
        <v>0</v>
      </c>
      <c r="M325" s="213">
        <f>IF(M$10='CHUNG TU'!$I316,'CHUNG TU'!$L316,0)</f>
        <v>0</v>
      </c>
      <c r="N325" s="213">
        <f>IF(N$10='CHUNG TU'!$I316,'CHUNG TU'!$L316,0)</f>
        <v>0</v>
      </c>
      <c r="O325" s="213">
        <f>IF(F325&lt;&gt;0,'CHUNG TU'!J316,"")</f>
      </c>
      <c r="P325" s="213">
        <f>IF(LEFT('CHUNG TU'!J316,3)='CPSXKD 642_yếu tố'!$H$7,'CHUNG TU'!$L316,0)</f>
        <v>8012500</v>
      </c>
      <c r="Q325" s="213" t="str">
        <f>IF(P325&lt;&gt;0,'CHUNG TU'!I316,"")</f>
        <v>911</v>
      </c>
    </row>
    <row r="326" spans="2:17" ht="12.75">
      <c r="B326" s="213" t="str">
        <f>IF($F326+$P326&lt;&gt;0,'CHUNG TU'!A317,"")</f>
        <v>31/10/2020</v>
      </c>
      <c r="C326" s="213" t="str">
        <f>IF($F326+$P326&lt;&gt;0,IF('CHUNG TU'!B317&lt;&gt;"",'CHUNG TU'!B317,IF('CHUNG TU'!C317&lt;&gt;"",'CHUNG TU'!C317,'CHUNG TU'!D317)),"")</f>
        <v>PKT10/113</v>
      </c>
      <c r="D326" s="213" t="str">
        <f>IF($F326+$P326&lt;&gt;0,'CHUNG TU'!F317,"")</f>
        <v>31/10/2020</v>
      </c>
      <c r="E326" s="213" t="str">
        <f>IF($F326+$P326&lt;&gt;0,'CHUNG TU'!H317,"")</f>
        <v>Kết chuyển chi phí QLDN</v>
      </c>
      <c r="F326" s="213">
        <f>IF(LEFT('CHUNG TU'!I317,3)='CPSXKD 642_yếu tố'!$H$7,'CHUNG TU'!$L317,0)</f>
        <v>0</v>
      </c>
      <c r="G326" s="213">
        <f>IF(G$10='CHUNG TU'!$I317,'CHUNG TU'!$L317,0)</f>
        <v>0</v>
      </c>
      <c r="H326" s="213">
        <f>IF(H$10='CHUNG TU'!$I317,'CHUNG TU'!$L317,0)</f>
        <v>0</v>
      </c>
      <c r="I326" s="213">
        <f>IF(I$10='CHUNG TU'!$I317,'CHUNG TU'!$L317,0)</f>
        <v>0</v>
      </c>
      <c r="J326" s="213">
        <f>IF(J$10='CHUNG TU'!$I317,'CHUNG TU'!$L317,0)</f>
        <v>0</v>
      </c>
      <c r="K326" s="213">
        <f>IF(K$10='CHUNG TU'!$I317,'CHUNG TU'!$L317,0)</f>
        <v>0</v>
      </c>
      <c r="L326" s="213">
        <f>IF(L$10='CHUNG TU'!$I317,'CHUNG TU'!$L317,0)</f>
        <v>0</v>
      </c>
      <c r="M326" s="213">
        <f>IF(M$10='CHUNG TU'!$I317,'CHUNG TU'!$L317,0)</f>
        <v>0</v>
      </c>
      <c r="N326" s="213">
        <f>IF(N$10='CHUNG TU'!$I317,'CHUNG TU'!$L317,0)</f>
        <v>0</v>
      </c>
      <c r="O326" s="213">
        <f>IF(F326&lt;&gt;0,'CHUNG TU'!J317,"")</f>
      </c>
      <c r="P326" s="213">
        <f>IF(LEFT('CHUNG TU'!J317,3)='CPSXKD 642_yếu tố'!$H$7,'CHUNG TU'!$L317,0)</f>
        <v>7868299.666666667</v>
      </c>
      <c r="Q326" s="213" t="str">
        <f>IF(P326&lt;&gt;0,'CHUNG TU'!I317,"")</f>
        <v>911</v>
      </c>
    </row>
    <row r="327" spans="2:17" ht="12.75">
      <c r="B327" s="213" t="str">
        <f>IF($F327+$P327&lt;&gt;0,'CHUNG TU'!A318,"")</f>
        <v>31/10/2020</v>
      </c>
      <c r="C327" s="213" t="str">
        <f>IF($F327+$P327&lt;&gt;0,IF('CHUNG TU'!B318&lt;&gt;"",'CHUNG TU'!B318,IF('CHUNG TU'!C318&lt;&gt;"",'CHUNG TU'!C318,'CHUNG TU'!D318)),"")</f>
        <v>PKT10/113</v>
      </c>
      <c r="D327" s="213" t="str">
        <f>IF($F327+$P327&lt;&gt;0,'CHUNG TU'!F318,"")</f>
        <v>31/10/2020</v>
      </c>
      <c r="E327" s="213" t="str">
        <f>IF($F327+$P327&lt;&gt;0,'CHUNG TU'!H318,"")</f>
        <v>Kết chuyển chi phí QLDN</v>
      </c>
      <c r="F327" s="213">
        <f>IF(LEFT('CHUNG TU'!I318,3)='CPSXKD 642_yếu tố'!$H$7,'CHUNG TU'!$L318,0)</f>
        <v>0</v>
      </c>
      <c r="G327" s="213">
        <f>IF(G$10='CHUNG TU'!$I318,'CHUNG TU'!$L318,0)</f>
        <v>0</v>
      </c>
      <c r="H327" s="213">
        <f>IF(H$10='CHUNG TU'!$I318,'CHUNG TU'!$L318,0)</f>
        <v>0</v>
      </c>
      <c r="I327" s="213">
        <f>IF(I$10='CHUNG TU'!$I318,'CHUNG TU'!$L318,0)</f>
        <v>0</v>
      </c>
      <c r="J327" s="213">
        <f>IF(J$10='CHUNG TU'!$I318,'CHUNG TU'!$L318,0)</f>
        <v>0</v>
      </c>
      <c r="K327" s="213">
        <f>IF(K$10='CHUNG TU'!$I318,'CHUNG TU'!$L318,0)</f>
        <v>0</v>
      </c>
      <c r="L327" s="213">
        <f>IF(L$10='CHUNG TU'!$I318,'CHUNG TU'!$L318,0)</f>
        <v>0</v>
      </c>
      <c r="M327" s="213">
        <f>IF(M$10='CHUNG TU'!$I318,'CHUNG TU'!$L318,0)</f>
        <v>0</v>
      </c>
      <c r="N327" s="213">
        <f>IF(N$10='CHUNG TU'!$I318,'CHUNG TU'!$L318,0)</f>
        <v>0</v>
      </c>
      <c r="O327" s="213">
        <f>IF(F327&lt;&gt;0,'CHUNG TU'!J318,"")</f>
      </c>
      <c r="P327" s="213">
        <f>IF(LEFT('CHUNG TU'!J318,3)='CPSXKD 642_yếu tố'!$H$7,'CHUNG TU'!$L318,0)</f>
        <v>1500000</v>
      </c>
      <c r="Q327" s="213" t="str">
        <f>IF(P327&lt;&gt;0,'CHUNG TU'!I318,"")</f>
        <v>911</v>
      </c>
    </row>
    <row r="328" spans="2:17" ht="12.75">
      <c r="B328" s="213" t="str">
        <f>IF($F328+$P328&lt;&gt;0,'CHUNG TU'!A319,"")</f>
        <v>31/10/2020</v>
      </c>
      <c r="C328" s="213" t="str">
        <f>IF($F328+$P328&lt;&gt;0,IF('CHUNG TU'!B319&lt;&gt;"",'CHUNG TU'!B319,IF('CHUNG TU'!C319&lt;&gt;"",'CHUNG TU'!C319,'CHUNG TU'!D319)),"")</f>
        <v>PKT10/113</v>
      </c>
      <c r="D328" s="213" t="str">
        <f>IF($F328+$P328&lt;&gt;0,'CHUNG TU'!F319,"")</f>
        <v>31/10/2020</v>
      </c>
      <c r="E328" s="213" t="str">
        <f>IF($F328+$P328&lt;&gt;0,'CHUNG TU'!H319,"")</f>
        <v>Kết chuyển chi phí QLDN</v>
      </c>
      <c r="F328" s="213">
        <f>IF(LEFT('CHUNG TU'!I319,3)='CPSXKD 642_yếu tố'!$H$7,'CHUNG TU'!$L319,0)</f>
        <v>0</v>
      </c>
      <c r="G328" s="213">
        <f>IF(G$10='CHUNG TU'!$I319,'CHUNG TU'!$L319,0)</f>
        <v>0</v>
      </c>
      <c r="H328" s="213">
        <f>IF(H$10='CHUNG TU'!$I319,'CHUNG TU'!$L319,0)</f>
        <v>0</v>
      </c>
      <c r="I328" s="213">
        <f>IF(I$10='CHUNG TU'!$I319,'CHUNG TU'!$L319,0)</f>
        <v>0</v>
      </c>
      <c r="J328" s="213">
        <f>IF(J$10='CHUNG TU'!$I319,'CHUNG TU'!$L319,0)</f>
        <v>0</v>
      </c>
      <c r="K328" s="213">
        <f>IF(K$10='CHUNG TU'!$I319,'CHUNG TU'!$L319,0)</f>
        <v>0</v>
      </c>
      <c r="L328" s="213">
        <f>IF(L$10='CHUNG TU'!$I319,'CHUNG TU'!$L319,0)</f>
        <v>0</v>
      </c>
      <c r="M328" s="213">
        <f>IF(M$10='CHUNG TU'!$I319,'CHUNG TU'!$L319,0)</f>
        <v>0</v>
      </c>
      <c r="N328" s="213">
        <f>IF(N$10='CHUNG TU'!$I319,'CHUNG TU'!$L319,0)</f>
        <v>0</v>
      </c>
      <c r="O328" s="213">
        <f>IF(F328&lt;&gt;0,'CHUNG TU'!J319,"")</f>
      </c>
      <c r="P328" s="213">
        <f>IF(LEFT('CHUNG TU'!J319,3)='CPSXKD 642_yếu tố'!$H$7,'CHUNG TU'!$L319,0)</f>
        <v>5500000</v>
      </c>
      <c r="Q328" s="213" t="str">
        <f>IF(P328&lt;&gt;0,'CHUNG TU'!I319,"")</f>
        <v>911</v>
      </c>
    </row>
    <row r="329" spans="2:17" ht="12.75">
      <c r="B329" s="213" t="str">
        <f>IF($F329+$P329&lt;&gt;0,'CHUNG TU'!A320,"")</f>
        <v>31/10/2020</v>
      </c>
      <c r="C329" s="213" t="str">
        <f>IF($F329+$P329&lt;&gt;0,IF('CHUNG TU'!B320&lt;&gt;"",'CHUNG TU'!B320,IF('CHUNG TU'!C320&lt;&gt;"",'CHUNG TU'!C320,'CHUNG TU'!D320)),"")</f>
        <v>PKT10/113</v>
      </c>
      <c r="D329" s="213" t="str">
        <f>IF($F329+$P329&lt;&gt;0,'CHUNG TU'!F320,"")</f>
        <v>31/10/2020</v>
      </c>
      <c r="E329" s="213" t="str">
        <f>IF($F329+$P329&lt;&gt;0,'CHUNG TU'!H320,"")</f>
        <v>Kết chuyển chi phí QLDN</v>
      </c>
      <c r="F329" s="213">
        <f>IF(LEFT('CHUNG TU'!I320,3)='CPSXKD 642_yếu tố'!$H$7,'CHUNG TU'!$L320,0)</f>
        <v>0</v>
      </c>
      <c r="G329" s="213">
        <f>IF(G$10='CHUNG TU'!$I320,'CHUNG TU'!$L320,0)</f>
        <v>0</v>
      </c>
      <c r="H329" s="213">
        <f>IF(H$10='CHUNG TU'!$I320,'CHUNG TU'!$L320,0)</f>
        <v>0</v>
      </c>
      <c r="I329" s="213">
        <f>IF(I$10='CHUNG TU'!$I320,'CHUNG TU'!$L320,0)</f>
        <v>0</v>
      </c>
      <c r="J329" s="213">
        <f>IF(J$10='CHUNG TU'!$I320,'CHUNG TU'!$L320,0)</f>
        <v>0</v>
      </c>
      <c r="K329" s="213">
        <f>IF(K$10='CHUNG TU'!$I320,'CHUNG TU'!$L320,0)</f>
        <v>0</v>
      </c>
      <c r="L329" s="213">
        <f>IF(L$10='CHUNG TU'!$I320,'CHUNG TU'!$L320,0)</f>
        <v>0</v>
      </c>
      <c r="M329" s="213">
        <f>IF(M$10='CHUNG TU'!$I320,'CHUNG TU'!$L320,0)</f>
        <v>0</v>
      </c>
      <c r="N329" s="213">
        <f>IF(N$10='CHUNG TU'!$I320,'CHUNG TU'!$L320,0)</f>
        <v>0</v>
      </c>
      <c r="O329" s="213">
        <f>IF(F329&lt;&gt;0,'CHUNG TU'!J320,"")</f>
      </c>
      <c r="P329" s="213">
        <f>IF(LEFT('CHUNG TU'!J320,3)='CPSXKD 642_yếu tố'!$H$7,'CHUNG TU'!$L320,0)</f>
        <v>53365783.916666664</v>
      </c>
      <c r="Q329" s="213" t="str">
        <f>IF(P329&lt;&gt;0,'CHUNG TU'!I320,"")</f>
        <v>911</v>
      </c>
    </row>
    <row r="330" spans="2:17" ht="12.75">
      <c r="B330" s="213" t="str">
        <f>IF($F330+$P330&lt;&gt;0,'CHUNG TU'!A321,"")</f>
        <v>31/10/2020</v>
      </c>
      <c r="C330" s="213" t="str">
        <f>IF($F330+$P330&lt;&gt;0,IF('CHUNG TU'!B321&lt;&gt;"",'CHUNG TU'!B321,IF('CHUNG TU'!C321&lt;&gt;"",'CHUNG TU'!C321,'CHUNG TU'!D321)),"")</f>
        <v>PKT10/113</v>
      </c>
      <c r="D330" s="213" t="str">
        <f>IF($F330+$P330&lt;&gt;0,'CHUNG TU'!F321,"")</f>
        <v>31/10/2020</v>
      </c>
      <c r="E330" s="213" t="str">
        <f>IF($F330+$P330&lt;&gt;0,'CHUNG TU'!H321,"")</f>
        <v>Kết chuyển chi phí QLDN</v>
      </c>
      <c r="F330" s="213">
        <f>IF(LEFT('CHUNG TU'!I321,3)='CPSXKD 642_yếu tố'!$H$7,'CHUNG TU'!$L321,0)</f>
        <v>0</v>
      </c>
      <c r="G330" s="213">
        <f>IF(G$10='CHUNG TU'!$I321,'CHUNG TU'!$L321,0)</f>
        <v>0</v>
      </c>
      <c r="H330" s="213">
        <f>IF(H$10='CHUNG TU'!$I321,'CHUNG TU'!$L321,0)</f>
        <v>0</v>
      </c>
      <c r="I330" s="213">
        <f>IF(I$10='CHUNG TU'!$I321,'CHUNG TU'!$L321,0)</f>
        <v>0</v>
      </c>
      <c r="J330" s="213">
        <f>IF(J$10='CHUNG TU'!$I321,'CHUNG TU'!$L321,0)</f>
        <v>0</v>
      </c>
      <c r="K330" s="213">
        <f>IF(K$10='CHUNG TU'!$I321,'CHUNG TU'!$L321,0)</f>
        <v>0</v>
      </c>
      <c r="L330" s="213">
        <f>IF(L$10='CHUNG TU'!$I321,'CHUNG TU'!$L321,0)</f>
        <v>0</v>
      </c>
      <c r="M330" s="213">
        <f>IF(M$10='CHUNG TU'!$I321,'CHUNG TU'!$L321,0)</f>
        <v>0</v>
      </c>
      <c r="N330" s="213">
        <f>IF(N$10='CHUNG TU'!$I321,'CHUNG TU'!$L321,0)</f>
        <v>0</v>
      </c>
      <c r="O330" s="213">
        <f>IF(F330&lt;&gt;0,'CHUNG TU'!J321,"")</f>
      </c>
      <c r="P330" s="213">
        <f>IF(LEFT('CHUNG TU'!J321,3)='CPSXKD 642_yếu tố'!$H$7,'CHUNG TU'!$L321,0)</f>
        <v>11600000</v>
      </c>
      <c r="Q330" s="213" t="str">
        <f>IF(P330&lt;&gt;0,'CHUNG TU'!I321,"")</f>
        <v>911</v>
      </c>
    </row>
    <row r="331" spans="2:17" ht="12.75">
      <c r="B331" s="213">
        <f>IF($F331+$P331&lt;&gt;0,'CHUNG TU'!A322,"")</f>
      </c>
      <c r="C331" s="213">
        <f>IF($F331+$P331&lt;&gt;0,IF('CHUNG TU'!B322&lt;&gt;"",'CHUNG TU'!B322,IF('CHUNG TU'!C322&lt;&gt;"",'CHUNG TU'!C322,'CHUNG TU'!D322)),"")</f>
      </c>
      <c r="D331" s="213">
        <f>IF($F331+$P331&lt;&gt;0,'CHUNG TU'!F322,"")</f>
      </c>
      <c r="E331" s="213">
        <f>IF($F331+$P331&lt;&gt;0,'CHUNG TU'!H322,"")</f>
      </c>
      <c r="F331" s="213">
        <f>IF(LEFT('CHUNG TU'!I322,3)='CPSXKD 642_yếu tố'!$H$7,'CHUNG TU'!$L322,0)</f>
        <v>0</v>
      </c>
      <c r="G331" s="213">
        <f>IF(G$10='CHUNG TU'!$I322,'CHUNG TU'!$L322,0)</f>
        <v>0</v>
      </c>
      <c r="H331" s="213">
        <f>IF(H$10='CHUNG TU'!$I322,'CHUNG TU'!$L322,0)</f>
        <v>0</v>
      </c>
      <c r="I331" s="213">
        <f>IF(I$10='CHUNG TU'!$I322,'CHUNG TU'!$L322,0)</f>
        <v>0</v>
      </c>
      <c r="J331" s="213">
        <f>IF(J$10='CHUNG TU'!$I322,'CHUNG TU'!$L322,0)</f>
        <v>0</v>
      </c>
      <c r="K331" s="213">
        <f>IF(K$10='CHUNG TU'!$I322,'CHUNG TU'!$L322,0)</f>
        <v>0</v>
      </c>
      <c r="L331" s="213">
        <f>IF(L$10='CHUNG TU'!$I322,'CHUNG TU'!$L322,0)</f>
        <v>0</v>
      </c>
      <c r="M331" s="213">
        <f>IF(M$10='CHUNG TU'!$I322,'CHUNG TU'!$L322,0)</f>
        <v>0</v>
      </c>
      <c r="N331" s="213">
        <f>IF(N$10='CHUNG TU'!$I322,'CHUNG TU'!$L322,0)</f>
        <v>0</v>
      </c>
      <c r="O331" s="213">
        <f>IF(F331&lt;&gt;0,'CHUNG TU'!J322,"")</f>
      </c>
      <c r="P331" s="213">
        <f>IF(LEFT('CHUNG TU'!J322,3)='CPSXKD 642_yếu tố'!$H$7,'CHUNG TU'!$L322,0)</f>
        <v>0</v>
      </c>
      <c r="Q331" s="213">
        <f>IF(P331&lt;&gt;0,'CHUNG TU'!I322,"")</f>
      </c>
    </row>
    <row r="332" spans="2:17" ht="12.75">
      <c r="B332" s="213">
        <f>IF($F332+$P332&lt;&gt;0,'CHUNG TU'!A323,"")</f>
      </c>
      <c r="C332" s="213">
        <f>IF($F332+$P332&lt;&gt;0,IF('CHUNG TU'!B323&lt;&gt;"",'CHUNG TU'!B323,IF('CHUNG TU'!C323&lt;&gt;"",'CHUNG TU'!C323,'CHUNG TU'!D323)),"")</f>
      </c>
      <c r="D332" s="213">
        <f>IF($F332+$P332&lt;&gt;0,'CHUNG TU'!F323,"")</f>
      </c>
      <c r="E332" s="213">
        <f>IF($F332+$P332&lt;&gt;0,'CHUNG TU'!H323,"")</f>
      </c>
      <c r="F332" s="213">
        <f>IF(LEFT('CHUNG TU'!I323,3)='CPSXKD 642_yếu tố'!$H$7,'CHUNG TU'!$L323,0)</f>
        <v>0</v>
      </c>
      <c r="G332" s="213">
        <f>IF(G$10='CHUNG TU'!$I323,'CHUNG TU'!$L323,0)</f>
        <v>0</v>
      </c>
      <c r="H332" s="213">
        <f>IF(H$10='CHUNG TU'!$I323,'CHUNG TU'!$L323,0)</f>
        <v>0</v>
      </c>
      <c r="I332" s="213">
        <f>IF(I$10='CHUNG TU'!$I323,'CHUNG TU'!$L323,0)</f>
        <v>0</v>
      </c>
      <c r="J332" s="213">
        <f>IF(J$10='CHUNG TU'!$I323,'CHUNG TU'!$L323,0)</f>
        <v>0</v>
      </c>
      <c r="K332" s="213">
        <f>IF(K$10='CHUNG TU'!$I323,'CHUNG TU'!$L323,0)</f>
        <v>0</v>
      </c>
      <c r="L332" s="213">
        <f>IF(L$10='CHUNG TU'!$I323,'CHUNG TU'!$L323,0)</f>
        <v>0</v>
      </c>
      <c r="M332" s="213">
        <f>IF(M$10='CHUNG TU'!$I323,'CHUNG TU'!$L323,0)</f>
        <v>0</v>
      </c>
      <c r="N332" s="213">
        <f>IF(N$10='CHUNG TU'!$I323,'CHUNG TU'!$L323,0)</f>
        <v>0</v>
      </c>
      <c r="O332" s="213">
        <f>IF(F332&lt;&gt;0,'CHUNG TU'!J323,"")</f>
      </c>
      <c r="P332" s="213">
        <f>IF(LEFT('CHUNG TU'!J323,3)='CPSXKD 642_yếu tố'!$H$7,'CHUNG TU'!$L323,0)</f>
        <v>0</v>
      </c>
      <c r="Q332" s="213">
        <f>IF(P332&lt;&gt;0,'CHUNG TU'!I323,"")</f>
      </c>
    </row>
    <row r="333" spans="2:17" ht="12.75">
      <c r="B333" s="213">
        <f>IF($F333+$P333&lt;&gt;0,'CHUNG TU'!A324,"")</f>
      </c>
      <c r="C333" s="213">
        <f>IF($F333+$P333&lt;&gt;0,IF('CHUNG TU'!B324&lt;&gt;"",'CHUNG TU'!B324,IF('CHUNG TU'!C324&lt;&gt;"",'CHUNG TU'!C324,'CHUNG TU'!D324)),"")</f>
      </c>
      <c r="D333" s="213">
        <f>IF($F333+$P333&lt;&gt;0,'CHUNG TU'!F324,"")</f>
      </c>
      <c r="E333" s="213">
        <f>IF($F333+$P333&lt;&gt;0,'CHUNG TU'!H324,"")</f>
      </c>
      <c r="F333" s="213">
        <f>IF(LEFT('CHUNG TU'!I324,3)='CPSXKD 642_yếu tố'!$H$7,'CHUNG TU'!$L324,0)</f>
        <v>0</v>
      </c>
      <c r="G333" s="213">
        <f>IF(G$10='CHUNG TU'!$I324,'CHUNG TU'!$L324,0)</f>
        <v>0</v>
      </c>
      <c r="H333" s="213">
        <f>IF(H$10='CHUNG TU'!$I324,'CHUNG TU'!$L324,0)</f>
        <v>0</v>
      </c>
      <c r="I333" s="213">
        <f>IF(I$10='CHUNG TU'!$I324,'CHUNG TU'!$L324,0)</f>
        <v>0</v>
      </c>
      <c r="J333" s="213">
        <f>IF(J$10='CHUNG TU'!$I324,'CHUNG TU'!$L324,0)</f>
        <v>0</v>
      </c>
      <c r="K333" s="213">
        <f>IF(K$10='CHUNG TU'!$I324,'CHUNG TU'!$L324,0)</f>
        <v>0</v>
      </c>
      <c r="L333" s="213">
        <f>IF(L$10='CHUNG TU'!$I324,'CHUNG TU'!$L324,0)</f>
        <v>0</v>
      </c>
      <c r="M333" s="213">
        <f>IF(M$10='CHUNG TU'!$I324,'CHUNG TU'!$L324,0)</f>
        <v>0</v>
      </c>
      <c r="N333" s="213">
        <f>IF(N$10='CHUNG TU'!$I324,'CHUNG TU'!$L324,0)</f>
        <v>0</v>
      </c>
      <c r="O333" s="213">
        <f>IF(F333&lt;&gt;0,'CHUNG TU'!J324,"")</f>
      </c>
      <c r="P333" s="213">
        <f>IF(LEFT('CHUNG TU'!J324,3)='CPSXKD 642_yếu tố'!$H$7,'CHUNG TU'!$L324,0)</f>
        <v>0</v>
      </c>
      <c r="Q333" s="213">
        <f>IF(P333&lt;&gt;0,'CHUNG TU'!I324,"")</f>
      </c>
    </row>
    <row r="334" spans="2:17" ht="12.75">
      <c r="B334" s="213">
        <f>IF($F334+$P334&lt;&gt;0,'CHUNG TU'!A325,"")</f>
      </c>
      <c r="C334" s="213">
        <f>IF($F334+$P334&lt;&gt;0,IF('CHUNG TU'!B325&lt;&gt;"",'CHUNG TU'!B325,IF('CHUNG TU'!C325&lt;&gt;"",'CHUNG TU'!C325,'CHUNG TU'!D325)),"")</f>
      </c>
      <c r="D334" s="213">
        <f>IF($F334+$P334&lt;&gt;0,'CHUNG TU'!F325,"")</f>
      </c>
      <c r="E334" s="213">
        <f>IF($F334+$P334&lt;&gt;0,'CHUNG TU'!H325,"")</f>
      </c>
      <c r="F334" s="213">
        <f>IF(LEFT('CHUNG TU'!I325,3)='CPSXKD 642_yếu tố'!$H$7,'CHUNG TU'!$L325,0)</f>
        <v>0</v>
      </c>
      <c r="G334" s="213">
        <f>IF(G$10='CHUNG TU'!$I325,'CHUNG TU'!$L325,0)</f>
        <v>0</v>
      </c>
      <c r="H334" s="213">
        <f>IF(H$10='CHUNG TU'!$I325,'CHUNG TU'!$L325,0)</f>
        <v>0</v>
      </c>
      <c r="I334" s="213">
        <f>IF(I$10='CHUNG TU'!$I325,'CHUNG TU'!$L325,0)</f>
        <v>0</v>
      </c>
      <c r="J334" s="213">
        <f>IF(J$10='CHUNG TU'!$I325,'CHUNG TU'!$L325,0)</f>
        <v>0</v>
      </c>
      <c r="K334" s="213">
        <f>IF(K$10='CHUNG TU'!$I325,'CHUNG TU'!$L325,0)</f>
        <v>0</v>
      </c>
      <c r="L334" s="213">
        <f>IF(L$10='CHUNG TU'!$I325,'CHUNG TU'!$L325,0)</f>
        <v>0</v>
      </c>
      <c r="M334" s="213">
        <f>IF(M$10='CHUNG TU'!$I325,'CHUNG TU'!$L325,0)</f>
        <v>0</v>
      </c>
      <c r="N334" s="213">
        <f>IF(N$10='CHUNG TU'!$I325,'CHUNG TU'!$L325,0)</f>
        <v>0</v>
      </c>
      <c r="O334" s="213">
        <f>IF(F334&lt;&gt;0,'CHUNG TU'!J325,"")</f>
      </c>
      <c r="P334" s="213">
        <f>IF(LEFT('CHUNG TU'!J325,3)='CPSXKD 642_yếu tố'!$H$7,'CHUNG TU'!$L325,0)</f>
        <v>0</v>
      </c>
      <c r="Q334" s="213">
        <f>IF(P334&lt;&gt;0,'CHUNG TU'!I325,"")</f>
      </c>
    </row>
    <row r="335" spans="2:17" ht="12.75">
      <c r="B335" s="213">
        <f>IF($F335+$P335&lt;&gt;0,'CHUNG TU'!A326,"")</f>
      </c>
      <c r="C335" s="213">
        <f>IF($F335+$P335&lt;&gt;0,IF('CHUNG TU'!B326&lt;&gt;"",'CHUNG TU'!B326,IF('CHUNG TU'!C326&lt;&gt;"",'CHUNG TU'!C326,'CHUNG TU'!D326)),"")</f>
      </c>
      <c r="D335" s="213">
        <f>IF($F335+$P335&lt;&gt;0,'CHUNG TU'!F326,"")</f>
      </c>
      <c r="E335" s="213">
        <f>IF($F335+$P335&lt;&gt;0,'CHUNG TU'!H326,"")</f>
      </c>
      <c r="F335" s="213">
        <f>IF(LEFT('CHUNG TU'!I326,3)='CPSXKD 642_yếu tố'!$H$7,'CHUNG TU'!$L326,0)</f>
        <v>0</v>
      </c>
      <c r="G335" s="213">
        <f>IF(G$10='CHUNG TU'!$I326,'CHUNG TU'!$L326,0)</f>
        <v>0</v>
      </c>
      <c r="H335" s="213">
        <f>IF(H$10='CHUNG TU'!$I326,'CHUNG TU'!$L326,0)</f>
        <v>0</v>
      </c>
      <c r="I335" s="213">
        <f>IF(I$10='CHUNG TU'!$I326,'CHUNG TU'!$L326,0)</f>
        <v>0</v>
      </c>
      <c r="J335" s="213">
        <f>IF(J$10='CHUNG TU'!$I326,'CHUNG TU'!$L326,0)</f>
        <v>0</v>
      </c>
      <c r="K335" s="213">
        <f>IF(K$10='CHUNG TU'!$I326,'CHUNG TU'!$L326,0)</f>
        <v>0</v>
      </c>
      <c r="L335" s="213">
        <f>IF(L$10='CHUNG TU'!$I326,'CHUNG TU'!$L326,0)</f>
        <v>0</v>
      </c>
      <c r="M335" s="213">
        <f>IF(M$10='CHUNG TU'!$I326,'CHUNG TU'!$L326,0)</f>
        <v>0</v>
      </c>
      <c r="N335" s="213">
        <f>IF(N$10='CHUNG TU'!$I326,'CHUNG TU'!$L326,0)</f>
        <v>0</v>
      </c>
      <c r="O335" s="213">
        <f>IF(F335&lt;&gt;0,'CHUNG TU'!J326,"")</f>
      </c>
      <c r="P335" s="213">
        <f>IF(LEFT('CHUNG TU'!J326,3)='CPSXKD 642_yếu tố'!$H$7,'CHUNG TU'!$L326,0)</f>
        <v>0</v>
      </c>
      <c r="Q335" s="213">
        <f>IF(P335&lt;&gt;0,'CHUNG TU'!I326,"")</f>
      </c>
    </row>
    <row r="336" spans="2:17" ht="12.75">
      <c r="B336" s="213">
        <f>IF($F336+$P336&lt;&gt;0,'CHUNG TU'!A327,"")</f>
      </c>
      <c r="C336" s="213">
        <f>IF($F336+$P336&lt;&gt;0,IF('CHUNG TU'!B327&lt;&gt;"",'CHUNG TU'!B327,IF('CHUNG TU'!C327&lt;&gt;"",'CHUNG TU'!C327,'CHUNG TU'!D327)),"")</f>
      </c>
      <c r="D336" s="213">
        <f>IF($F336+$P336&lt;&gt;0,'CHUNG TU'!F327,"")</f>
      </c>
      <c r="E336" s="213">
        <f>IF($F336+$P336&lt;&gt;0,'CHUNG TU'!H327,"")</f>
      </c>
      <c r="F336" s="213">
        <f>IF(LEFT('CHUNG TU'!I327,3)='CPSXKD 642_yếu tố'!$H$7,'CHUNG TU'!$L327,0)</f>
        <v>0</v>
      </c>
      <c r="G336" s="213">
        <f>IF(G$10='CHUNG TU'!$I327,'CHUNG TU'!$L327,0)</f>
        <v>0</v>
      </c>
      <c r="H336" s="213">
        <f>IF(H$10='CHUNG TU'!$I327,'CHUNG TU'!$L327,0)</f>
        <v>0</v>
      </c>
      <c r="I336" s="213">
        <f>IF(I$10='CHUNG TU'!$I327,'CHUNG TU'!$L327,0)</f>
        <v>0</v>
      </c>
      <c r="J336" s="213">
        <f>IF(J$10='CHUNG TU'!$I327,'CHUNG TU'!$L327,0)</f>
        <v>0</v>
      </c>
      <c r="K336" s="213">
        <f>IF(K$10='CHUNG TU'!$I327,'CHUNG TU'!$L327,0)</f>
        <v>0</v>
      </c>
      <c r="L336" s="213">
        <f>IF(L$10='CHUNG TU'!$I327,'CHUNG TU'!$L327,0)</f>
        <v>0</v>
      </c>
      <c r="M336" s="213">
        <f>IF(M$10='CHUNG TU'!$I327,'CHUNG TU'!$L327,0)</f>
        <v>0</v>
      </c>
      <c r="N336" s="213">
        <f>IF(N$10='CHUNG TU'!$I327,'CHUNG TU'!$L327,0)</f>
        <v>0</v>
      </c>
      <c r="O336" s="213">
        <f>IF(F336&lt;&gt;0,'CHUNG TU'!J327,"")</f>
      </c>
      <c r="P336" s="213">
        <f>IF(LEFT('CHUNG TU'!J327,3)='CPSXKD 642_yếu tố'!$H$7,'CHUNG TU'!$L327,0)</f>
        <v>0</v>
      </c>
      <c r="Q336" s="213">
        <f>IF(P336&lt;&gt;0,'CHUNG TU'!I327,"")</f>
      </c>
    </row>
    <row r="337" spans="2:17" ht="12.75">
      <c r="B337" s="213">
        <f>IF($F337+$P337&lt;&gt;0,'CHUNG TU'!A328,"")</f>
      </c>
      <c r="C337" s="213">
        <f>IF($F337+$P337&lt;&gt;0,IF('CHUNG TU'!B328&lt;&gt;"",'CHUNG TU'!B328,IF('CHUNG TU'!C328&lt;&gt;"",'CHUNG TU'!C328,'CHUNG TU'!D328)),"")</f>
      </c>
      <c r="D337" s="213">
        <f>IF($F337+$P337&lt;&gt;0,'CHUNG TU'!F328,"")</f>
      </c>
      <c r="E337" s="213">
        <f>IF($F337+$P337&lt;&gt;0,'CHUNG TU'!H328,"")</f>
      </c>
      <c r="F337" s="213">
        <f>IF(LEFT('CHUNG TU'!I328,3)='CPSXKD 642_yếu tố'!$H$7,'CHUNG TU'!$L328,0)</f>
        <v>0</v>
      </c>
      <c r="G337" s="213">
        <f>IF(G$10='CHUNG TU'!$I328,'CHUNG TU'!$L328,0)</f>
        <v>0</v>
      </c>
      <c r="H337" s="213">
        <f>IF(H$10='CHUNG TU'!$I328,'CHUNG TU'!$L328,0)</f>
        <v>0</v>
      </c>
      <c r="I337" s="213">
        <f>IF(I$10='CHUNG TU'!$I328,'CHUNG TU'!$L328,0)</f>
        <v>0</v>
      </c>
      <c r="J337" s="213">
        <f>IF(J$10='CHUNG TU'!$I328,'CHUNG TU'!$L328,0)</f>
        <v>0</v>
      </c>
      <c r="K337" s="213">
        <f>IF(K$10='CHUNG TU'!$I328,'CHUNG TU'!$L328,0)</f>
        <v>0</v>
      </c>
      <c r="L337" s="213">
        <f>IF(L$10='CHUNG TU'!$I328,'CHUNG TU'!$L328,0)</f>
        <v>0</v>
      </c>
      <c r="M337" s="213">
        <f>IF(M$10='CHUNG TU'!$I328,'CHUNG TU'!$L328,0)</f>
        <v>0</v>
      </c>
      <c r="N337" s="213">
        <f>IF(N$10='CHUNG TU'!$I328,'CHUNG TU'!$L328,0)</f>
        <v>0</v>
      </c>
      <c r="O337" s="213">
        <f>IF(F337&lt;&gt;0,'CHUNG TU'!J328,"")</f>
      </c>
      <c r="P337" s="213">
        <f>IF(LEFT('CHUNG TU'!J328,3)='CPSXKD 642_yếu tố'!$H$7,'CHUNG TU'!$L328,0)</f>
        <v>0</v>
      </c>
      <c r="Q337" s="213">
        <f>IF(P337&lt;&gt;0,'CHUNG TU'!I328,"")</f>
      </c>
    </row>
    <row r="338" spans="2:17" ht="12.75">
      <c r="B338" s="213">
        <f>IF($F338+$P338&lt;&gt;0,'CHUNG TU'!A329,"")</f>
      </c>
      <c r="C338" s="213">
        <f>IF($F338+$P338&lt;&gt;0,IF('CHUNG TU'!B329&lt;&gt;"",'CHUNG TU'!B329,IF('CHUNG TU'!C329&lt;&gt;"",'CHUNG TU'!C329,'CHUNG TU'!D329)),"")</f>
      </c>
      <c r="D338" s="213">
        <f>IF($F338+$P338&lt;&gt;0,'CHUNG TU'!F329,"")</f>
      </c>
      <c r="E338" s="213">
        <f>IF($F338+$P338&lt;&gt;0,'CHUNG TU'!H329,"")</f>
      </c>
      <c r="F338" s="213">
        <f>IF(LEFT('CHUNG TU'!I329,3)='CPSXKD 642_yếu tố'!$H$7,'CHUNG TU'!$L329,0)</f>
        <v>0</v>
      </c>
      <c r="G338" s="213">
        <f>IF(G$10='CHUNG TU'!$I329,'CHUNG TU'!$L329,0)</f>
        <v>0</v>
      </c>
      <c r="H338" s="213">
        <f>IF(H$10='CHUNG TU'!$I329,'CHUNG TU'!$L329,0)</f>
        <v>0</v>
      </c>
      <c r="I338" s="213">
        <f>IF(I$10='CHUNG TU'!$I329,'CHUNG TU'!$L329,0)</f>
        <v>0</v>
      </c>
      <c r="J338" s="213">
        <f>IF(J$10='CHUNG TU'!$I329,'CHUNG TU'!$L329,0)</f>
        <v>0</v>
      </c>
      <c r="K338" s="213">
        <f>IF(K$10='CHUNG TU'!$I329,'CHUNG TU'!$L329,0)</f>
        <v>0</v>
      </c>
      <c r="L338" s="213">
        <f>IF(L$10='CHUNG TU'!$I329,'CHUNG TU'!$L329,0)</f>
        <v>0</v>
      </c>
      <c r="M338" s="213">
        <f>IF(M$10='CHUNG TU'!$I329,'CHUNG TU'!$L329,0)</f>
        <v>0</v>
      </c>
      <c r="N338" s="213">
        <f>IF(N$10='CHUNG TU'!$I329,'CHUNG TU'!$L329,0)</f>
        <v>0</v>
      </c>
      <c r="O338" s="213">
        <f>IF(F338&lt;&gt;0,'CHUNG TU'!J329,"")</f>
      </c>
      <c r="P338" s="213">
        <f>IF(LEFT('CHUNG TU'!J329,3)='CPSXKD 642_yếu tố'!$H$7,'CHUNG TU'!$L329,0)</f>
        <v>0</v>
      </c>
      <c r="Q338" s="213">
        <f>IF(P338&lt;&gt;0,'CHUNG TU'!I329,"")</f>
      </c>
    </row>
    <row r="339" spans="2:17" ht="12.75">
      <c r="B339" s="213">
        <f>IF($F339+$P339&lt;&gt;0,'CHUNG TU'!A330,"")</f>
      </c>
      <c r="C339" s="213">
        <f>IF($F339+$P339&lt;&gt;0,IF('CHUNG TU'!B330&lt;&gt;"",'CHUNG TU'!B330,IF('CHUNG TU'!C330&lt;&gt;"",'CHUNG TU'!C330,'CHUNG TU'!D330)),"")</f>
      </c>
      <c r="D339" s="213">
        <f>IF($F339+$P339&lt;&gt;0,'CHUNG TU'!F330,"")</f>
      </c>
      <c r="E339" s="213">
        <f>IF($F339+$P339&lt;&gt;0,'CHUNG TU'!H330,"")</f>
      </c>
      <c r="F339" s="213">
        <f>IF(LEFT('CHUNG TU'!I330,3)='CPSXKD 642_yếu tố'!$H$7,'CHUNG TU'!$L330,0)</f>
        <v>0</v>
      </c>
      <c r="G339" s="213">
        <f>IF(G$10='CHUNG TU'!$I330,'CHUNG TU'!$L330,0)</f>
        <v>0</v>
      </c>
      <c r="H339" s="213">
        <f>IF(H$10='CHUNG TU'!$I330,'CHUNG TU'!$L330,0)</f>
        <v>0</v>
      </c>
      <c r="I339" s="213">
        <f>IF(I$10='CHUNG TU'!$I330,'CHUNG TU'!$L330,0)</f>
        <v>0</v>
      </c>
      <c r="J339" s="213">
        <f>IF(J$10='CHUNG TU'!$I330,'CHUNG TU'!$L330,0)</f>
        <v>0</v>
      </c>
      <c r="K339" s="213">
        <f>IF(K$10='CHUNG TU'!$I330,'CHUNG TU'!$L330,0)</f>
        <v>0</v>
      </c>
      <c r="L339" s="213">
        <f>IF(L$10='CHUNG TU'!$I330,'CHUNG TU'!$L330,0)</f>
        <v>0</v>
      </c>
      <c r="M339" s="213">
        <f>IF(M$10='CHUNG TU'!$I330,'CHUNG TU'!$L330,0)</f>
        <v>0</v>
      </c>
      <c r="N339" s="213">
        <f>IF(N$10='CHUNG TU'!$I330,'CHUNG TU'!$L330,0)</f>
        <v>0</v>
      </c>
      <c r="O339" s="213">
        <f>IF(F339&lt;&gt;0,'CHUNG TU'!J330,"")</f>
      </c>
      <c r="P339" s="213">
        <f>IF(LEFT('CHUNG TU'!J330,3)='CPSXKD 642_yếu tố'!$H$7,'CHUNG TU'!$L330,0)</f>
        <v>0</v>
      </c>
      <c r="Q339" s="213">
        <f>IF(P339&lt;&gt;0,'CHUNG TU'!I330,"")</f>
      </c>
    </row>
    <row r="340" spans="2:17" ht="12.75">
      <c r="B340" s="213">
        <f>IF($F340+$P340&lt;&gt;0,'CHUNG TU'!A331,"")</f>
      </c>
      <c r="C340" s="213">
        <f>IF($F340+$P340&lt;&gt;0,IF('CHUNG TU'!B331&lt;&gt;"",'CHUNG TU'!B331,IF('CHUNG TU'!C331&lt;&gt;"",'CHUNG TU'!C331,'CHUNG TU'!D331)),"")</f>
      </c>
      <c r="D340" s="213">
        <f>IF($F340+$P340&lt;&gt;0,'CHUNG TU'!F331,"")</f>
      </c>
      <c r="E340" s="213">
        <f>IF($F340+$P340&lt;&gt;0,'CHUNG TU'!H331,"")</f>
      </c>
      <c r="F340" s="213">
        <f>IF(LEFT('CHUNG TU'!I331,3)='CPSXKD 642_yếu tố'!$H$7,'CHUNG TU'!$L331,0)</f>
        <v>0</v>
      </c>
      <c r="G340" s="213">
        <f>IF(G$10='CHUNG TU'!$I331,'CHUNG TU'!$L331,0)</f>
        <v>0</v>
      </c>
      <c r="H340" s="213">
        <f>IF(H$10='CHUNG TU'!$I331,'CHUNG TU'!$L331,0)</f>
        <v>0</v>
      </c>
      <c r="I340" s="213">
        <f>IF(I$10='CHUNG TU'!$I331,'CHUNG TU'!$L331,0)</f>
        <v>0</v>
      </c>
      <c r="J340" s="213">
        <f>IF(J$10='CHUNG TU'!$I331,'CHUNG TU'!$L331,0)</f>
        <v>0</v>
      </c>
      <c r="K340" s="213">
        <f>IF(K$10='CHUNG TU'!$I331,'CHUNG TU'!$L331,0)</f>
        <v>0</v>
      </c>
      <c r="L340" s="213">
        <f>IF(L$10='CHUNG TU'!$I331,'CHUNG TU'!$L331,0)</f>
        <v>0</v>
      </c>
      <c r="M340" s="213">
        <f>IF(M$10='CHUNG TU'!$I331,'CHUNG TU'!$L331,0)</f>
        <v>0</v>
      </c>
      <c r="N340" s="213">
        <f>IF(N$10='CHUNG TU'!$I331,'CHUNG TU'!$L331,0)</f>
        <v>0</v>
      </c>
      <c r="O340" s="213">
        <f>IF(F340&lt;&gt;0,'CHUNG TU'!J331,"")</f>
      </c>
      <c r="P340" s="213">
        <f>IF(LEFT('CHUNG TU'!J331,3)='CPSXKD 642_yếu tố'!$H$7,'CHUNG TU'!$L331,0)</f>
        <v>0</v>
      </c>
      <c r="Q340" s="213">
        <f>IF(P340&lt;&gt;0,'CHUNG TU'!I331,"")</f>
      </c>
    </row>
    <row r="345" spans="2:8" ht="15.75">
      <c r="B345" s="10"/>
      <c r="C345" s="14" t="s">
        <v>469</v>
      </c>
      <c r="D345" s="10"/>
      <c r="E345" s="10"/>
      <c r="F345" s="10"/>
      <c r="G345" s="10"/>
      <c r="H345" s="10"/>
    </row>
    <row r="346" spans="2:8" ht="15.75">
      <c r="B346" s="10"/>
      <c r="C346" s="14" t="s">
        <v>470</v>
      </c>
      <c r="D346" s="10"/>
      <c r="E346" s="10"/>
      <c r="F346" s="10"/>
      <c r="G346" s="12"/>
      <c r="H346" s="10"/>
    </row>
    <row r="347" spans="2:12" ht="15.75">
      <c r="B347" s="10"/>
      <c r="C347" s="10"/>
      <c r="D347" s="10"/>
      <c r="E347" s="10"/>
      <c r="F347" s="10"/>
      <c r="L347" s="12" t="s">
        <v>474</v>
      </c>
    </row>
    <row r="348" spans="2:12" ht="15.75">
      <c r="B348" s="260" t="s">
        <v>463</v>
      </c>
      <c r="C348" s="260"/>
      <c r="D348" s="260"/>
      <c r="E348" s="260" t="s">
        <v>464</v>
      </c>
      <c r="F348" s="260"/>
      <c r="L348" s="12" t="s">
        <v>465</v>
      </c>
    </row>
    <row r="349" spans="2:12" ht="15.75">
      <c r="B349" s="260" t="s">
        <v>472</v>
      </c>
      <c r="C349" s="260"/>
      <c r="D349" s="260"/>
      <c r="E349" s="260" t="s">
        <v>466</v>
      </c>
      <c r="F349" s="260"/>
      <c r="L349" s="12" t="s">
        <v>475</v>
      </c>
    </row>
  </sheetData>
  <sheetProtection/>
  <mergeCells count="11">
    <mergeCell ref="B349:D349"/>
    <mergeCell ref="E349:F349"/>
    <mergeCell ref="P9:Q10"/>
    <mergeCell ref="B348:D348"/>
    <mergeCell ref="E348:F348"/>
    <mergeCell ref="B6:Q6"/>
    <mergeCell ref="B9:B11"/>
    <mergeCell ref="C9:D10"/>
    <mergeCell ref="E9:E11"/>
    <mergeCell ref="G9:O9"/>
    <mergeCell ref="O10:O11"/>
  </mergeCells>
  <printOptions/>
  <pageMargins left="0.75" right="0.75" top="1" bottom="1" header="0.5" footer="0.5"/>
  <pageSetup orientation="portrait" paperSize="9"/>
  <ignoredErrors>
    <ignoredError sqref="G10:N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2021-11-23T10:29:54Z</dcterms:modified>
  <cp:category/>
  <cp:version/>
  <cp:contentType/>
  <cp:contentStatus/>
</cp:coreProperties>
</file>