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T DN" sheetId="2" r:id="rId2"/>
    <sheet name="CHUNG TU" sheetId="3" r:id="rId3"/>
    <sheet name="SDDK" sheetId="4" r:id="rId4"/>
    <sheet name="NKChi" sheetId="5" r:id="rId5"/>
    <sheet name="THCT 155" sheetId="6" r:id="rId6"/>
    <sheet name="GiáThànhF01" sheetId="7" r:id="rId7"/>
  </sheets>
  <definedNames>
    <definedName name="_Fill" hidden="1">#REF!</definedName>
    <definedName name="_xlfn.SUMIFS" hidden="1">#NAME?</definedName>
    <definedName name="BDMTK">'SDDK'!$C$6:$O$65536</definedName>
    <definedName name="SOKTMAY">'CHUNG TU'!$A$7:$H$65536</definedName>
  </definedNames>
  <calcPr fullCalcOnLoad="1"/>
</workbook>
</file>

<file path=xl/comments4.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<sst xmlns="http://schemas.openxmlformats.org/spreadsheetml/2006/main" count="2882" uniqueCount="1185">
  <si>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</si>
  <si>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</si>
  <si>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</si>
  <si>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</si>
  <si>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</si>
  <si>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</si>
  <si>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</si>
  <si>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</si>
  <si>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</si>
  <si>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</si>
  <si>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</si>
  <si>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</si>
  <si>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</si>
  <si>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</si>
  <si>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</si>
  <si>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</si>
  <si>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</si>
  <si>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</si>
  <si>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</si>
  <si>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</si>
  <si>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</si>
  <si>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</si>
  <si>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</si>
  <si>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</si>
  <si>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</si>
  <si>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</si>
  <si>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</si>
  <si>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</si>
  <si>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</si>
  <si>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</si>
  <si>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</si>
  <si>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</si>
  <si>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</si>
  <si>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</si>
  <si>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</si>
  <si>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</si>
  <si>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</si>
  <si>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</si>
  <si>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</si>
  <si>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</si>
  <si>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</si>
  <si>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</si>
  <si>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</si>
  <si>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</si>
  <si>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</si>
  <si>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</si>
  <si>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</si>
  <si>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</si>
  <si>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</si>
  <si>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</si>
  <si>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</si>
  <si>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</si>
  <si>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</si>
  <si>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</si>
  <si>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</si>
  <si>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</si>
  <si>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</si>
  <si>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</si>
  <si>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</si>
  <si>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</si>
  <si>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</si>
  <si>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</si>
  <si>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</si>
  <si>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</si>
  <si>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</si>
  <si>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</si>
  <si>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</si>
  <si>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</si>
  <si>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</si>
  <si>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</si>
  <si>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</si>
  <si>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</si>
  <si>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</si>
  <si>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</si>
  <si>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</si>
  <si>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</si>
  <si>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</si>
  <si>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</si>
  <si>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</si>
  <si>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</si>
  <si>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</si>
  <si>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</si>
  <si>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</si>
  <si>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</si>
  <si>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</si>
  <si>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</si>
  <si>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</si>
  <si>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</si>
  <si>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</si>
  <si>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</si>
  <si>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</si>
  <si>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</si>
  <si>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</si>
  <si>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</si>
  <si>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</si>
  <si>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</si>
  <si>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</si>
  <si>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</si>
  <si>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</si>
  <si>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</si>
  <si>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</si>
  <si>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</si>
  <si>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</si>
  <si>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</si>
  <si>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</si>
  <si>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</si>
  <si>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</si>
  <si>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</si>
  <si>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</si>
  <si>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</si>
  <si>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</si>
  <si>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</si>
  <si>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</si>
  <si>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NHẬT KÝ CHI TIỀN</t>
  </si>
  <si>
    <t>SỐ HIỆU</t>
  </si>
  <si>
    <t>NGÀY GHI SỔ</t>
  </si>
  <si>
    <t>CHỨNG TỪ</t>
  </si>
  <si>
    <t>112</t>
  </si>
  <si>
    <t>141</t>
  </si>
  <si>
    <t>TÀI KHOẢN KHÁC</t>
  </si>
  <si>
    <t>SỐ</t>
  </si>
  <si>
    <t>NGÀY</t>
  </si>
  <si>
    <t>SỐ TIỀN</t>
  </si>
  <si>
    <t>Tổng cộng</t>
  </si>
  <si>
    <t>[1]?</t>
  </si>
  <si>
    <t>[2]?</t>
  </si>
  <si>
    <t>[3]?</t>
  </si>
  <si>
    <t>[4]?</t>
  </si>
  <si>
    <t>[5]?</t>
  </si>
  <si>
    <t>[6]?</t>
  </si>
  <si>
    <t>[7]?</t>
  </si>
  <si>
    <t>[8]?</t>
  </si>
  <si>
    <t>[9]?</t>
  </si>
  <si>
    <t>[10]?</t>
  </si>
  <si>
    <t>[11]?</t>
  </si>
  <si>
    <t>[12]?</t>
  </si>
  <si>
    <t>[13]?</t>
  </si>
  <si>
    <t>[14]?</t>
  </si>
  <si>
    <t>[15]?</t>
  </si>
  <si>
    <t>[16]?</t>
  </si>
  <si>
    <t>[17]?</t>
  </si>
  <si>
    <t>[18]?</t>
  </si>
  <si>
    <t>[19]?</t>
  </si>
  <si>
    <t>GHI NỢ CÁC TÀI KHOẢN SAU</t>
  </si>
  <si>
    <t>642</t>
  </si>
  <si>
    <t>152</t>
  </si>
  <si>
    <t>133</t>
  </si>
  <si>
    <t>Chi phí nhân công trực tiếp</t>
  </si>
  <si>
    <t>Chi phí sản xuất chung</t>
  </si>
  <si>
    <t>TỔNG CỘNG:</t>
  </si>
  <si>
    <t>MÃ</t>
  </si>
  <si>
    <t>ĐƠN VỊ</t>
  </si>
  <si>
    <t>TỒN ĐẦU KỲ</t>
  </si>
  <si>
    <t>NHẬP TRONG KỲ</t>
  </si>
  <si>
    <t>XUẤT TRONG KỲ</t>
  </si>
  <si>
    <t>TỒN CUỐI KỲ</t>
  </si>
  <si>
    <t>kg</t>
  </si>
  <si>
    <t>cái</t>
  </si>
  <si>
    <t>lít</t>
  </si>
  <si>
    <t>TÊN VẬT TƯ</t>
  </si>
  <si>
    <t>HÀNG</t>
  </si>
  <si>
    <t>TÍNH</t>
  </si>
  <si>
    <t>Số Lượng</t>
  </si>
  <si>
    <t>Thành Tiền</t>
  </si>
  <si>
    <t>Đơn Giá</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</si>
  <si>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</si>
  <si>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</si>
  <si>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</si>
  <si>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</si>
  <si>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</si>
  <si>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</si>
  <si>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</si>
  <si>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</si>
  <si>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</si>
  <si>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</si>
  <si>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THẺ TÍNH GIÁ THÀNH SẢN PHẨM DỊCH VỤ</t>
  </si>
  <si>
    <t>Số lượng sản phẩm hoàn thành</t>
  </si>
  <si>
    <t>Đơn vị tính: Đồng</t>
  </si>
  <si>
    <t>Mã Chi Phí</t>
  </si>
  <si>
    <t>Khoản mục chi phí
sản xuất kinh doanh</t>
  </si>
  <si>
    <t>Chi phí SXKD
dở dang
đầu kỳ</t>
  </si>
  <si>
    <t>Chi phí
SXKD
phát sinh
trong kỳ</t>
  </si>
  <si>
    <t>Các khoản
giảm trừ</t>
  </si>
  <si>
    <t>Chi phí
SXKD
dở dang
cuối kỳ</t>
  </si>
  <si>
    <t>Giá thành sản phẩm</t>
  </si>
  <si>
    <t>Tổng 
giá thành</t>
  </si>
  <si>
    <t>Giá thành đơn vị</t>
  </si>
  <si>
    <t>Nguyên Vật liệu trực tiếp</t>
  </si>
  <si>
    <t>GHI CÓ TK</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</si>
  <si>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</si>
  <si>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</si>
  <si>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</si>
  <si>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</si>
  <si>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</si>
  <si>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</si>
  <si>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</si>
  <si>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</si>
  <si>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</si>
  <si>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</si>
  <si>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</si>
  <si>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</si>
  <si>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</si>
  <si>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</si>
  <si>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</si>
  <si>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</si>
  <si>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</si>
  <si>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</si>
  <si>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</si>
  <si>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</si>
  <si>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</si>
  <si>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</si>
  <si>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</si>
  <si>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</si>
  <si>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</si>
  <si>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</si>
  <si>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</si>
  <si>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</si>
  <si>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</si>
  <si>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</si>
  <si>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</si>
  <si>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</si>
  <si>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</si>
  <si>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</si>
  <si>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PT10/001</t>
  </si>
  <si>
    <t>Nguyễn Minh Ngân</t>
  </si>
  <si>
    <t>PC10/001</t>
  </si>
  <si>
    <t>PC10/002</t>
  </si>
  <si>
    <t>PC10/003</t>
  </si>
  <si>
    <t>PC10/004</t>
  </si>
  <si>
    <t>PC10/005</t>
  </si>
  <si>
    <t>PN 10/001NVL</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</si>
  <si>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</si>
  <si>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</si>
  <si>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</si>
  <si>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</si>
  <si>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</si>
  <si>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</si>
  <si>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</si>
  <si>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</si>
  <si>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</si>
  <si>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</si>
  <si>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</si>
  <si>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</si>
  <si>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</si>
  <si>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</si>
  <si>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</si>
  <si>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</si>
  <si>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</si>
  <si>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</si>
  <si>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</si>
  <si>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</si>
  <si>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</si>
  <si>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</si>
  <si>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</si>
  <si>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</si>
  <si>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</si>
  <si>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</si>
  <si>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</si>
  <si>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</si>
  <si>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</si>
  <si>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</si>
  <si>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</si>
  <si>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</si>
  <si>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</si>
  <si>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</si>
  <si>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</si>
  <si>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</si>
  <si>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</si>
  <si>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</si>
  <si>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</si>
  <si>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</si>
  <si>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</si>
  <si>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</si>
  <si>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</si>
  <si>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</si>
  <si>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</si>
  <si>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</si>
  <si>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</si>
  <si>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</si>
  <si>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</si>
  <si>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</si>
  <si>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</si>
  <si>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</si>
  <si>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</si>
  <si>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</si>
  <si>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</si>
  <si>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</si>
  <si>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</si>
  <si>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</si>
  <si>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</si>
  <si>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</si>
  <si>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</si>
  <si>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</si>
  <si>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</si>
  <si>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</si>
  <si>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</si>
  <si>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</si>
  <si>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</si>
  <si>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</si>
  <si>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</si>
  <si>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</si>
  <si>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</si>
  <si>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</si>
  <si>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</si>
  <si>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</si>
  <si>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</si>
  <si>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</si>
  <si>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</si>
  <si>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</si>
  <si>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</si>
  <si>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</si>
  <si>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</si>
  <si>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</si>
  <si>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</si>
  <si>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</si>
  <si>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</si>
  <si>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</si>
  <si>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</si>
  <si>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</si>
  <si>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</si>
  <si>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</si>
  <si>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</si>
  <si>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</si>
  <si>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</si>
  <si>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</si>
  <si>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</si>
  <si>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</si>
  <si>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</si>
  <si>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[A]?</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</si>
  <si>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</si>
  <si>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</si>
  <si>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</si>
  <si>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</si>
  <si>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</si>
  <si>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</si>
  <si>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</si>
  <si>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</si>
  <si>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</si>
  <si>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</si>
  <si>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</si>
  <si>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</si>
  <si>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</si>
  <si>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</si>
  <si>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</si>
  <si>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</si>
  <si>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</si>
  <si>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</si>
  <si>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</si>
  <si>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</si>
  <si>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</si>
  <si>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</si>
  <si>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</si>
  <si>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</si>
  <si>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</si>
  <si>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</si>
  <si>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</si>
  <si>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</si>
  <si>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</si>
  <si>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</si>
  <si>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</si>
  <si>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</si>
  <si>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</si>
  <si>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</si>
  <si>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</si>
  <si>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</si>
  <si>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</si>
  <si>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</si>
  <si>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</si>
  <si>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</si>
  <si>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</si>
  <si>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</si>
  <si>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</si>
  <si>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</si>
  <si>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</si>
  <si>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</si>
  <si>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</si>
  <si>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</si>
  <si>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</si>
  <si>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</si>
  <si>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</si>
  <si>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</si>
  <si>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</si>
  <si>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</si>
  <si>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</si>
  <si>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</si>
  <si>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</si>
  <si>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</si>
  <si>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</si>
  <si>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</si>
  <si>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</si>
  <si>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</si>
  <si>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</si>
  <si>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</si>
  <si>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</si>
  <si>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</si>
  <si>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</si>
  <si>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</si>
  <si>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</si>
  <si>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</si>
  <si>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</si>
  <si>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</si>
  <si>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</si>
  <si>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</si>
  <si>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</si>
  <si>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</si>
  <si>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</si>
  <si>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</si>
  <si>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</si>
  <si>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</si>
  <si>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</si>
  <si>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</si>
  <si>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</si>
  <si>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</si>
  <si>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</si>
  <si>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</si>
  <si>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</si>
  <si>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</si>
  <si>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</si>
  <si>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</si>
  <si>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</si>
  <si>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</si>
  <si>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</si>
  <si>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</si>
  <si>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</si>
  <si>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</si>
  <si>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</si>
  <si>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</si>
  <si>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</si>
  <si>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</si>
  <si>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</si>
  <si>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</si>
  <si>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</si>
  <si>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</si>
  <si>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</si>
  <si>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</si>
  <si>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</si>
  <si>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</si>
  <si>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</si>
  <si>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</si>
  <si>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</si>
  <si>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</si>
  <si>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</si>
  <si>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</si>
  <si>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</si>
  <si>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</si>
  <si>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</si>
  <si>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</si>
  <si>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</si>
  <si>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</si>
  <si>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</si>
  <si>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</si>
  <si>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</si>
  <si>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</si>
  <si>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</si>
  <si>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</si>
  <si>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</si>
  <si>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</si>
  <si>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</si>
  <si>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</si>
  <si>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</si>
  <si>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</si>
  <si>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</si>
  <si>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</si>
  <si>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</si>
  <si>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</si>
  <si>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</si>
  <si>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</si>
  <si>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</si>
  <si>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</si>
  <si>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</si>
  <si>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</si>
  <si>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</si>
  <si>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</si>
  <si>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</si>
  <si>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</si>
  <si>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</si>
  <si>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</si>
  <si>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</si>
  <si>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</si>
  <si>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</si>
  <si>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</si>
  <si>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</si>
  <si>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</si>
  <si>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</si>
  <si>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</si>
  <si>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</si>
  <si>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</si>
  <si>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</si>
  <si>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(Ký, họ tên, đóng dấu)</t>
  </si>
  <si>
    <t>Địa chỉ:</t>
  </si>
  <si>
    <t>Mẫu số S03a2-DN</t>
  </si>
  <si>
    <t>- Sổ này có             trang, đánh số từ trang 01 đến trang</t>
  </si>
  <si>
    <t>- Ngày mở số:</t>
  </si>
  <si>
    <t xml:space="preserve">Ngày            tháng         năm   </t>
  </si>
  <si>
    <t>(Ký, họ tê)</t>
  </si>
  <si>
    <t>Người lập</t>
  </si>
  <si>
    <t xml:space="preserve">Ngày      tháng     năm   </t>
  </si>
  <si>
    <t>(Ký tên, đóng dấu)</t>
  </si>
  <si>
    <t>ĐVT</t>
  </si>
  <si>
    <t xml:space="preserve">Ngày          tháng           năm      </t>
  </si>
  <si>
    <t>Mẫu số S11-DN</t>
  </si>
  <si>
    <t>BẢNG TỔNG HỢP CHI TIẾT TÀI KHOẢN 155</t>
  </si>
  <si>
    <t>NHẬP - XUẤT - TỒN THÀNH PHẨM</t>
  </si>
  <si>
    <t>Mẫu số S37-DN</t>
  </si>
  <si>
    <t>PKT10/001</t>
  </si>
  <si>
    <t>PKT10/003</t>
  </si>
  <si>
    <t>PKT10/004</t>
  </si>
  <si>
    <t>PKT10/005</t>
  </si>
  <si>
    <t>PKT10/006</t>
  </si>
  <si>
    <t>PKT10/007</t>
  </si>
  <si>
    <t>PKT10/008</t>
  </si>
  <si>
    <t>PKT10/009</t>
  </si>
  <si>
    <t>PKT10/010</t>
  </si>
  <si>
    <t>PKT10/011</t>
  </si>
  <si>
    <t>PKT10/012</t>
  </si>
  <si>
    <t>PKT10/013</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</si>
  <si>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</si>
  <si>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</si>
  <si>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</si>
  <si>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</si>
  <si>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</si>
  <si>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</si>
  <si>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</si>
  <si>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</si>
  <si>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</si>
  <si>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</si>
  <si>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</si>
  <si>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</si>
  <si>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</si>
  <si>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</si>
  <si>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</si>
  <si>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</si>
  <si>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</si>
  <si>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</si>
  <si>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</si>
  <si>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</si>
  <si>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</si>
  <si>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</si>
  <si>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</si>
  <si>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</si>
  <si>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</si>
  <si>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</si>
  <si>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</si>
  <si>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</si>
  <si>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</si>
  <si>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</si>
  <si>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</si>
  <si>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</si>
  <si>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</si>
  <si>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</si>
  <si>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</si>
  <si>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</si>
  <si>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</si>
  <si>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</si>
  <si>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</si>
  <si>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</si>
  <si>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</si>
  <si>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</si>
  <si>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</si>
  <si>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</si>
  <si>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</si>
  <si>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</si>
  <si>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</si>
  <si>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</si>
  <si>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</si>
  <si>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</si>
  <si>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</si>
  <si>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</si>
  <si>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</si>
  <si>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</si>
  <si>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</si>
  <si>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</si>
  <si>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</si>
  <si>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</si>
  <si>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</si>
  <si>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</si>
  <si>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</si>
  <si>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</si>
  <si>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</si>
  <si>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</si>
  <si>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</si>
  <si>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</si>
  <si>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</si>
  <si>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</si>
  <si>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</si>
  <si>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</si>
  <si>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</si>
  <si>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</si>
  <si>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</si>
  <si>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</si>
  <si>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</si>
  <si>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</si>
  <si>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</si>
  <si>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</si>
  <si>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</si>
  <si>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</si>
  <si>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</si>
  <si>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</si>
  <si>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</si>
  <si>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</si>
  <si>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</si>
  <si>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</si>
  <si>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</si>
  <si>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</si>
  <si>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</si>
  <si>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</si>
  <si>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</si>
  <si>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</si>
  <si>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</si>
  <si>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</si>
  <si>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</si>
  <si>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</si>
  <si>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</si>
  <si>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</si>
  <si>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</si>
  <si>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</si>
  <si>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</si>
  <si>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</si>
  <si>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</si>
  <si>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</si>
  <si>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</si>
  <si>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</si>
  <si>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</si>
  <si>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</si>
  <si>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</si>
  <si>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SỐ PHIẾU 
KẾ TOÁN</t>
  </si>
  <si>
    <t>SỐ PHIẾU
NHẬP/ XUẤT</t>
  </si>
  <si>
    <t>Cái</t>
  </si>
  <si>
    <t xml:space="preserve">Đơn vị: </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</si>
  <si>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</si>
  <si>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</si>
  <si>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</si>
  <si>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</si>
  <si>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</si>
  <si>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</si>
  <si>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</si>
  <si>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</si>
  <si>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</si>
  <si>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</si>
  <si>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</si>
  <si>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</si>
  <si>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</si>
  <si>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</si>
  <si>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</si>
  <si>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</si>
  <si>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</si>
  <si>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</si>
  <si>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</si>
  <si>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</si>
  <si>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</si>
  <si>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</si>
  <si>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</si>
  <si>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</si>
  <si>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</si>
  <si>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</si>
  <si>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</si>
  <si>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</si>
  <si>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</si>
  <si>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</si>
  <si>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</si>
  <si>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</si>
  <si>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</si>
  <si>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</si>
  <si>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</si>
  <si>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</si>
  <si>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</si>
  <si>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</si>
  <si>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</si>
  <si>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</si>
  <si>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</si>
  <si>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</si>
  <si>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</si>
  <si>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</si>
  <si>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</si>
  <si>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</si>
  <si>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</si>
  <si>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</si>
  <si>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</si>
  <si>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</si>
  <si>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</si>
  <si>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</si>
  <si>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</si>
  <si>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</si>
  <si>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</si>
  <si>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</si>
  <si>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</si>
  <si>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</si>
  <si>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</si>
  <si>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</si>
  <si>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</si>
  <si>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</si>
  <si>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</si>
  <si>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</si>
  <si>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</si>
  <si>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</si>
  <si>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</si>
  <si>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</si>
  <si>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</si>
  <si>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</si>
  <si>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</si>
  <si>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</si>
  <si>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</si>
  <si>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</si>
  <si>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</si>
  <si>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</si>
  <si>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</si>
  <si>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</si>
  <si>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</si>
  <si>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</si>
  <si>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</si>
  <si>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</si>
  <si>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</si>
  <si>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</si>
  <si>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</si>
  <si>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</si>
  <si>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</si>
  <si>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</si>
  <si>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</si>
  <si>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</si>
  <si>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</si>
  <si>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</si>
  <si>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</si>
  <si>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</si>
  <si>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</si>
  <si>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</si>
  <si>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</si>
  <si>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</si>
  <si>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</si>
  <si>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</si>
  <si>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</si>
  <si>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</si>
  <si>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</si>
  <si>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</si>
  <si>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</si>
  <si>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</si>
  <si>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</si>
  <si>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</si>
  <si>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</si>
  <si>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</si>
  <si>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</si>
  <si>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</si>
  <si>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</si>
  <si>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</si>
  <si>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</si>
  <si>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</si>
  <si>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</si>
  <si>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</si>
  <si>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</si>
  <si>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</si>
  <si>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</si>
  <si>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</si>
  <si>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</si>
  <si>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</si>
  <si>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</si>
  <si>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</si>
  <si>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</si>
  <si>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</si>
  <si>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</si>
  <si>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</si>
  <si>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</si>
  <si>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</si>
  <si>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</si>
  <si>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</si>
  <si>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</si>
  <si>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</si>
  <si>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</si>
  <si>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</si>
  <si>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</si>
  <si>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</si>
  <si>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</si>
  <si>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</si>
  <si>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Phải trả ngắn hạn Công ty TNHH Quang Ngọc</t>
  </si>
  <si>
    <t>Phải trả ngắn hạn Công ty TNHH Tú Ngọc</t>
  </si>
  <si>
    <t>Phải trả ngắn hạn Công ty Kinh Doanh Thép Việt</t>
  </si>
  <si>
    <t>Phải trả ngắn hạn Công ty TNHH Vĩnh viễn</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</si>
  <si>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</si>
  <si>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</si>
  <si>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</si>
  <si>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</si>
  <si>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</si>
  <si>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</si>
  <si>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</si>
  <si>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</si>
  <si>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</si>
  <si>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</si>
  <si>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</si>
  <si>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</si>
  <si>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</si>
  <si>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</si>
  <si>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</si>
  <si>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</si>
  <si>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</si>
  <si>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</si>
  <si>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</si>
  <si>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</si>
  <si>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</si>
  <si>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</si>
  <si>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</si>
  <si>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</si>
  <si>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</si>
  <si>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</si>
  <si>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</si>
  <si>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</si>
  <si>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</si>
  <si>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</si>
  <si>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</si>
  <si>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</si>
  <si>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</si>
  <si>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</si>
  <si>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</si>
  <si>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</si>
  <si>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</si>
  <si>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</si>
  <si>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</si>
  <si>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</si>
  <si>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</si>
  <si>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</si>
  <si>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</si>
  <si>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</si>
  <si>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</si>
  <si>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</si>
  <si>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</si>
  <si>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</si>
  <si>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</si>
  <si>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</si>
  <si>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</si>
  <si>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</si>
  <si>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 xml:space="preserve">Tên sản phẩm, dịch vụ: </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</si>
  <si>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</si>
  <si>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</si>
  <si>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</si>
  <si>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</si>
  <si>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</si>
  <si>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</si>
  <si>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</si>
  <si>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</si>
  <si>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</si>
  <si>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</si>
  <si>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</si>
  <si>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</si>
  <si>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</si>
  <si>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</si>
  <si>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</si>
  <si>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</si>
  <si>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</si>
  <si>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</si>
  <si>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</si>
  <si>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</si>
  <si>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</si>
  <si>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</si>
  <si>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</si>
  <si>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</si>
  <si>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</si>
  <si>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</si>
  <si>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</si>
  <si>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</si>
  <si>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</si>
  <si>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</si>
  <si>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</si>
  <si>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</si>
  <si>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</si>
  <si>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</si>
  <si>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</si>
  <si>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</si>
  <si>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</si>
  <si>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</si>
  <si>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</si>
  <si>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</si>
  <si>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</si>
  <si>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</si>
  <si>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</si>
  <si>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</si>
  <si>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</si>
  <si>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</si>
  <si>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</si>
  <si>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</si>
  <si>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</si>
  <si>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</si>
  <si>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</si>
  <si>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</si>
  <si>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</si>
  <si>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</si>
  <si>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</si>
  <si>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</si>
  <si>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</si>
  <si>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</si>
  <si>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</si>
  <si>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</si>
  <si>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</si>
  <si>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</si>
  <si>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</si>
  <si>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</si>
  <si>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</si>
  <si>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</si>
  <si>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</si>
  <si>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</si>
  <si>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</si>
  <si>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</si>
  <si>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</si>
  <si>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</si>
  <si>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</si>
  <si>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</si>
  <si>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</si>
  <si>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</si>
  <si>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</si>
  <si>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</si>
  <si>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</si>
  <si>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</si>
  <si>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</si>
  <si>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</si>
  <si>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</si>
  <si>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</si>
  <si>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</si>
  <si>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</si>
  <si>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</si>
  <si>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</si>
  <si>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</si>
  <si>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</si>
  <si>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</si>
  <si>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</si>
  <si>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</si>
  <si>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</si>
  <si>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</si>
  <si>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</si>
  <si>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</si>
  <si>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</si>
  <si>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23/10/2020</t>
  </si>
  <si>
    <t>24/10/2020</t>
  </si>
  <si>
    <t>25/10/2020</t>
  </si>
  <si>
    <t>Phải thu ngắn hạn Công ty TNHH Hồng Ký</t>
  </si>
  <si>
    <t>Phải thu dài hạn Công ty TNHH Minh Long</t>
  </si>
  <si>
    <t>26/10/2020</t>
  </si>
  <si>
    <t>27/10/2020</t>
  </si>
  <si>
    <t>28/10/2020</t>
  </si>
  <si>
    <t>29/10/2020</t>
  </si>
  <si>
    <t>30/10/2020</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</si>
  <si>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</si>
  <si>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</si>
  <si>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</si>
  <si>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</si>
  <si>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</si>
  <si>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</si>
  <si>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</si>
  <si>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</si>
  <si>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</si>
  <si>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</si>
  <si>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</si>
  <si>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</si>
  <si>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</si>
  <si>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</si>
  <si>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</si>
  <si>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</si>
  <si>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</si>
  <si>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</si>
  <si>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</si>
  <si>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</si>
  <si>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</si>
  <si>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</si>
  <si>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</si>
  <si>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</si>
  <si>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</si>
  <si>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</si>
  <si>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</si>
  <si>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</si>
  <si>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</si>
  <si>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</si>
  <si>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</si>
  <si>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</si>
  <si>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</si>
  <si>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</si>
  <si>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</si>
  <si>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</si>
  <si>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</si>
  <si>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</si>
  <si>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</si>
  <si>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</si>
  <si>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</si>
  <si>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</si>
  <si>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</si>
  <si>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</si>
  <si>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</si>
  <si>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</si>
  <si>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</si>
  <si>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</si>
  <si>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</si>
  <si>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</si>
  <si>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</si>
  <si>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</si>
  <si>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</si>
  <si>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</si>
  <si>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</si>
  <si>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</si>
  <si>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</si>
  <si>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</si>
  <si>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</si>
  <si>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</si>
  <si>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</si>
  <si>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</si>
  <si>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</si>
  <si>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</si>
  <si>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</si>
  <si>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</si>
  <si>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</si>
  <si>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</si>
  <si>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</si>
  <si>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</si>
  <si>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</si>
  <si>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</si>
  <si>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</si>
  <si>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</si>
  <si>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</si>
  <si>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</si>
  <si>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</si>
  <si>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</si>
  <si>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</si>
  <si>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</si>
  <si>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</si>
  <si>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</si>
  <si>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</si>
  <si>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</si>
  <si>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</si>
  <si>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</si>
  <si>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</si>
  <si>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</si>
  <si>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</si>
  <si>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</si>
  <si>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</si>
  <si>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</si>
  <si>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</si>
  <si>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</si>
  <si>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</si>
  <si>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</si>
  <si>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</si>
  <si>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</si>
  <si>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</si>
  <si>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</si>
  <si>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</si>
  <si>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</si>
  <si>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</si>
  <si>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</si>
  <si>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</si>
  <si>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</si>
  <si>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</si>
  <si>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</si>
  <si>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</si>
  <si>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</si>
  <si>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</si>
  <si>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</si>
  <si>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</si>
  <si>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</si>
  <si>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</si>
  <si>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</si>
  <si>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</si>
  <si>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</si>
  <si>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</si>
  <si>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</si>
  <si>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</si>
  <si>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</si>
  <si>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</si>
  <si>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</si>
  <si>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</si>
  <si>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</si>
  <si>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</si>
  <si>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</si>
  <si>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</si>
  <si>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</si>
  <si>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</si>
  <si>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</si>
  <si>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</si>
  <si>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</si>
  <si>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</si>
  <si>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</si>
  <si>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</si>
  <si>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</si>
  <si>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</si>
  <si>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</si>
  <si>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</si>
  <si>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</si>
  <si>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</si>
  <si>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</si>
  <si>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</si>
  <si>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</si>
  <si>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</si>
  <si>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</si>
  <si>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</si>
  <si>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</si>
  <si>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</si>
  <si>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</si>
  <si>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</si>
  <si>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</si>
  <si>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</si>
  <si>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</si>
  <si>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</si>
  <si>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</si>
  <si>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</si>
  <si>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</si>
  <si>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</si>
  <si>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</si>
  <si>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</si>
  <si>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</si>
  <si>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</si>
  <si>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</si>
  <si>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</si>
  <si>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</si>
  <si>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</si>
  <si>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</si>
  <si>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</si>
  <si>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</si>
  <si>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</si>
  <si>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</si>
  <si>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</si>
  <si>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</si>
  <si>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</si>
  <si>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</si>
  <si>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</si>
  <si>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</si>
  <si>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</si>
  <si>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</si>
  <si>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</si>
  <si>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</si>
  <si>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</si>
  <si>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</si>
  <si>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</si>
  <si>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</si>
  <si>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</si>
  <si>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</si>
  <si>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</si>
  <si>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</si>
  <si>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</si>
  <si>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</si>
  <si>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</si>
  <si>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</si>
  <si>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</si>
  <si>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</si>
  <si>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</si>
  <si>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</si>
  <si>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</si>
  <si>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</si>
  <si>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</si>
  <si>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</si>
  <si>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</si>
  <si>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</si>
  <si>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</si>
  <si>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</si>
  <si>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</si>
  <si>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</si>
  <si>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</si>
  <si>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</si>
  <si>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</si>
  <si>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</si>
  <si>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</si>
  <si>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</si>
  <si>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</si>
  <si>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</si>
  <si>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</si>
  <si>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</si>
  <si>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</si>
  <si>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</si>
  <si>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</si>
  <si>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</si>
  <si>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</si>
  <si>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</si>
  <si>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</si>
  <si>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</si>
  <si>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</si>
  <si>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</si>
  <si>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</si>
  <si>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</si>
  <si>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</si>
  <si>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</si>
  <si>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</si>
  <si>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Lập sổ nhật ký chi tiền mặt</t>
  </si>
  <si>
    <t>Lập thẻ tính giá thành sản phẩm Vải thun coton (F01)</t>
  </si>
  <si>
    <t>4đ</t>
  </si>
  <si>
    <t>3đ</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</si>
  <si>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</si>
  <si>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</si>
  <si>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</si>
  <si>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</si>
  <si>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</si>
  <si>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Lập bảng tổng hợp nhập xuất tồn 155</t>
  </si>
  <si>
    <t>Mã đề: EXHK20212_2</t>
  </si>
  <si>
    <t>THI KẾT THÚC HỌC PHẦN - NH 2021 - 2022</t>
  </si>
  <si>
    <t>MÔN: MS-EXCEL TRONG KẾ TOÁN</t>
  </si>
  <si>
    <t>LỚP: K24KTĐB - [Thời gian: 60 phút]</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</si>
</sst>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409]dddd\,\ mmmm\ d\,\ yyyy"/>
    <numFmt numFmtId="218" formatCode="[$-409]h:mm:ss\ AM/PM"/>
    <numFmt numFmtId="219" formatCode="[$-F800]dddd\,\ mmmm\ dd\,\ yyyy"/>
    <numFmt numFmtId="220" formatCode="0#"/>
  </numFmts>
  <fonts count="116">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2"/>
      <name val="Arial"/>
      <family val="2"/>
    </font>
    <font>
      <sz val="11"/>
      <name val="Arial"/>
      <family val="2"/>
    </font>
    <font>
      <b/>
      <sz val="11"/>
      <color indexed="12"/>
      <name val="Arial"/>
      <family val="2"/>
    </font>
    <font>
      <b/>
      <sz val="12"/>
      <color indexed="12"/>
      <name val="Arial"/>
      <family val="2"/>
    </font>
    <font>
      <sz val="12"/>
      <color indexed="12"/>
      <name val="Arial"/>
      <family val="2"/>
    </font>
    <font>
      <sz val="11"/>
      <color indexed="12"/>
      <name val="Arial"/>
      <family val="2"/>
    </font>
    <font>
      <sz val="11"/>
      <color indexed="14"/>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b/>
      <sz val="14"/>
      <color indexed="36"/>
      <name val="Times New Roman"/>
      <family val="1"/>
    </font>
    <font>
      <b/>
      <sz val="14"/>
      <color indexed="59"/>
      <name val="Times New Roman"/>
      <family val="1"/>
    </font>
    <font>
      <b/>
      <sz val="12"/>
      <color indexed="8"/>
      <name val="Times New Roman"/>
      <family val="1"/>
    </font>
    <font>
      <b/>
      <sz val="20"/>
      <color indexed="10"/>
      <name val="Times New Roman"/>
      <family val="1"/>
    </font>
    <font>
      <b/>
      <sz val="16"/>
      <color indexed="10"/>
      <name val="Arial"/>
      <family val="2"/>
    </font>
    <font>
      <b/>
      <u val="single"/>
      <sz val="11"/>
      <color indexed="8"/>
      <name val="Times New Roman"/>
      <family val="0"/>
    </font>
    <font>
      <i/>
      <sz val="11"/>
      <color indexed="8"/>
      <name val="Calibri"/>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b/>
      <sz val="14"/>
      <color rgb="FF7030A0"/>
      <name val="Times New Roman"/>
      <family val="1"/>
    </font>
    <font>
      <b/>
      <sz val="14"/>
      <color theme="2" tint="-0.8999800086021423"/>
      <name val="Times New Roman"/>
      <family val="1"/>
    </font>
    <font>
      <b/>
      <sz val="12"/>
      <color theme="1"/>
      <name val="Times New Roman"/>
      <family val="1"/>
    </font>
    <font>
      <b/>
      <sz val="20"/>
      <color rgb="FFFF0000"/>
      <name val="Times New Roman"/>
      <family val="1"/>
    </font>
    <font>
      <b/>
      <sz val="16"/>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40"/>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86"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87"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88"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89" fillId="0" borderId="5" applyNumberFormat="0" applyFill="0" applyAlignment="0" applyProtection="0"/>
    <xf numFmtId="0" fontId="89"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172" fontId="6" fillId="0" borderId="0">
      <alignment/>
      <protection/>
    </xf>
    <xf numFmtId="0" fontId="86"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5"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173">
    <xf numFmtId="0" fontId="0" fillId="0" borderId="0" xfId="0" applyAlignment="1">
      <alignment/>
    </xf>
    <xf numFmtId="49" fontId="17" fillId="0" borderId="10" xfId="0" applyNumberFormat="1" applyFont="1" applyBorder="1" applyAlignment="1" quotePrefix="1">
      <alignment/>
    </xf>
    <xf numFmtId="0" fontId="17" fillId="0" borderId="0" xfId="0" applyFont="1" applyAlignment="1">
      <alignment/>
    </xf>
    <xf numFmtId="0" fontId="0" fillId="0" borderId="10" xfId="0" applyBorder="1" applyAlignment="1">
      <alignment/>
    </xf>
    <xf numFmtId="0" fontId="17" fillId="0" borderId="10" xfId="0" applyFont="1" applyBorder="1" applyAlignment="1">
      <alignment/>
    </xf>
    <xf numFmtId="0" fontId="17" fillId="0" borderId="0" xfId="0" applyFont="1" applyAlignment="1">
      <alignment/>
    </xf>
    <xf numFmtId="0" fontId="16" fillId="0" borderId="0" xfId="0" applyFont="1" applyAlignment="1">
      <alignment/>
    </xf>
    <xf numFmtId="0" fontId="16" fillId="33" borderId="10" xfId="0" applyFont="1" applyFill="1" applyBorder="1" applyAlignment="1" quotePrefix="1">
      <alignment/>
    </xf>
    <xf numFmtId="0" fontId="17" fillId="0" borderId="10" xfId="0" applyFont="1" applyBorder="1" applyAlignment="1">
      <alignment horizontal="center" vertical="center" wrapText="1"/>
    </xf>
    <xf numFmtId="0" fontId="16" fillId="0" borderId="10" xfId="0" applyFont="1" applyBorder="1" applyAlignment="1">
      <alignment/>
    </xf>
    <xf numFmtId="0" fontId="16" fillId="34" borderId="10" xfId="0" applyFont="1" applyFill="1" applyBorder="1" applyAlignment="1">
      <alignment horizontal="center"/>
    </xf>
    <xf numFmtId="0" fontId="2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16" fillId="0" borderId="10" xfId="0" applyFont="1" applyBorder="1" applyAlignment="1">
      <alignment horizontal="center"/>
    </xf>
    <xf numFmtId="0" fontId="19" fillId="0" borderId="0" xfId="0" applyFont="1" applyFill="1" applyAlignment="1">
      <alignment/>
    </xf>
    <xf numFmtId="0" fontId="0" fillId="0" borderId="11" xfId="0" applyFont="1" applyFill="1" applyBorder="1" applyAlignment="1">
      <alignment/>
    </xf>
    <xf numFmtId="174" fontId="0" fillId="0" borderId="10" xfId="42" applyNumberFormat="1" applyFont="1" applyFill="1" applyBorder="1" applyAlignment="1">
      <alignment/>
    </xf>
    <xf numFmtId="43" fontId="0" fillId="0" borderId="10" xfId="42" applyFont="1" applyFill="1" applyBorder="1" applyAlignment="1">
      <alignment/>
    </xf>
    <xf numFmtId="175" fontId="0" fillId="0" borderId="0" xfId="42" applyNumberFormat="1" applyFont="1" applyFill="1" applyAlignment="1">
      <alignment/>
    </xf>
    <xf numFmtId="0" fontId="24" fillId="0" borderId="0" xfId="0" applyFont="1" applyAlignment="1">
      <alignment/>
    </xf>
    <xf numFmtId="0" fontId="25" fillId="0" borderId="0" xfId="0" applyFont="1" applyAlignment="1">
      <alignment/>
    </xf>
    <xf numFmtId="0" fontId="24" fillId="35" borderId="10" xfId="0" applyFont="1" applyFill="1" applyBorder="1" applyAlignment="1">
      <alignment horizontal="center"/>
    </xf>
    <xf numFmtId="0" fontId="17" fillId="0" borderId="0" xfId="0" applyFont="1" applyAlignment="1">
      <alignment horizontal="right"/>
    </xf>
    <xf numFmtId="0" fontId="20" fillId="0" borderId="10" xfId="0" applyFont="1" applyBorder="1" applyAlignment="1">
      <alignment/>
    </xf>
    <xf numFmtId="0" fontId="20" fillId="35" borderId="10" xfId="0" applyFont="1" applyFill="1" applyBorder="1" applyAlignment="1">
      <alignment/>
    </xf>
    <xf numFmtId="0" fontId="17" fillId="0" borderId="10" xfId="0" applyFont="1" applyBorder="1" applyAlignment="1">
      <alignment horizontal="center"/>
    </xf>
    <xf numFmtId="0" fontId="23" fillId="0" borderId="12" xfId="0" applyFont="1" applyBorder="1" applyAlignment="1">
      <alignment horizontal="center" vertical="center" wrapText="1"/>
    </xf>
    <xf numFmtId="0" fontId="22" fillId="0" borderId="10" xfId="0" applyFont="1" applyBorder="1" applyAlignment="1">
      <alignment horizontal="center"/>
    </xf>
    <xf numFmtId="0" fontId="21" fillId="0" borderId="10" xfId="0" applyFont="1" applyBorder="1" applyAlignment="1">
      <alignment horizontal="center"/>
    </xf>
    <xf numFmtId="0" fontId="22" fillId="36" borderId="10" xfId="0" applyFont="1" applyFill="1" applyBorder="1" applyAlignment="1">
      <alignment horizontal="center" vertical="center" wrapText="1"/>
    </xf>
    <xf numFmtId="0" fontId="23" fillId="0" borderId="10" xfId="0" applyFont="1" applyBorder="1" applyAlignment="1">
      <alignment horizontal="center"/>
    </xf>
    <xf numFmtId="0" fontId="24" fillId="0" borderId="10" xfId="0" applyFont="1" applyBorder="1" applyAlignment="1">
      <alignment horizontal="center"/>
    </xf>
    <xf numFmtId="0" fontId="24" fillId="0" borderId="10" xfId="0" applyFont="1" applyFill="1" applyBorder="1" applyAlignment="1">
      <alignment horizontal="center"/>
    </xf>
    <xf numFmtId="0" fontId="29" fillId="0" borderId="0" xfId="0" applyFont="1" applyAlignment="1">
      <alignment/>
    </xf>
    <xf numFmtId="0" fontId="30" fillId="0" borderId="0" xfId="0" applyFont="1" applyAlignment="1">
      <alignment horizontal="center"/>
    </xf>
    <xf numFmtId="0" fontId="29" fillId="0" borderId="0" xfId="0" applyFont="1" applyAlignment="1">
      <alignment horizontal="center"/>
    </xf>
    <xf numFmtId="0" fontId="29" fillId="0" borderId="0" xfId="0" applyFont="1" applyAlignment="1">
      <alignment/>
    </xf>
    <xf numFmtId="0" fontId="29" fillId="0" borderId="0" xfId="0" applyFont="1" applyAlignment="1" quotePrefix="1">
      <alignment/>
    </xf>
    <xf numFmtId="0" fontId="17" fillId="0" borderId="11" xfId="0" applyFont="1" applyBorder="1" applyAlignment="1">
      <alignment horizontal="center"/>
    </xf>
    <xf numFmtId="0" fontId="20" fillId="0" borderId="0" xfId="0" applyFont="1" applyAlignment="1">
      <alignment/>
    </xf>
    <xf numFmtId="0" fontId="32" fillId="37" borderId="10" xfId="0" applyFont="1" applyFill="1" applyBorder="1" applyAlignment="1" applyProtection="1">
      <alignment horizontal="center" vertical="center"/>
      <protection/>
    </xf>
    <xf numFmtId="0" fontId="32" fillId="38" borderId="10" xfId="0" applyFont="1" applyFill="1" applyBorder="1" applyAlignment="1" applyProtection="1">
      <alignment vertical="center"/>
      <protection/>
    </xf>
    <xf numFmtId="49" fontId="33" fillId="38" borderId="10" xfId="0" applyNumberFormat="1" applyFont="1" applyFill="1" applyBorder="1" applyAlignment="1" applyProtection="1">
      <alignment horizontal="left" vertical="center"/>
      <protection locked="0"/>
    </xf>
    <xf numFmtId="0" fontId="33" fillId="38" borderId="0" xfId="0" applyFont="1" applyFill="1" applyAlignment="1" applyProtection="1">
      <alignment vertical="center"/>
      <protection/>
    </xf>
    <xf numFmtId="0" fontId="32" fillId="37" borderId="10" xfId="0" applyFont="1" applyFill="1" applyBorder="1" applyAlignment="1" applyProtection="1">
      <alignment horizontal="center" vertical="center"/>
      <protection locked="0"/>
    </xf>
    <xf numFmtId="0" fontId="32" fillId="38" borderId="10" xfId="0" applyFont="1" applyFill="1" applyBorder="1" applyAlignment="1" applyProtection="1">
      <alignment horizontal="center" vertical="center"/>
      <protection/>
    </xf>
    <xf numFmtId="0" fontId="32" fillId="38" borderId="10" xfId="0" applyFont="1" applyFill="1" applyBorder="1" applyAlignment="1" applyProtection="1">
      <alignment horizontal="center" vertical="center"/>
      <protection locked="0"/>
    </xf>
    <xf numFmtId="0" fontId="32" fillId="38" borderId="10" xfId="0" applyFont="1" applyFill="1" applyBorder="1" applyAlignment="1" applyProtection="1">
      <alignment horizontal="left" vertical="center"/>
      <protection/>
    </xf>
    <xf numFmtId="0" fontId="17" fillId="0" borderId="0" xfId="0" applyFont="1" applyAlignment="1" quotePrefix="1">
      <alignment/>
    </xf>
    <xf numFmtId="173" fontId="0" fillId="0" borderId="0" xfId="0" applyNumberFormat="1" applyFont="1" applyBorder="1" applyAlignment="1">
      <alignment/>
    </xf>
    <xf numFmtId="0" fontId="0" fillId="0" borderId="10" xfId="0" applyFont="1" applyBorder="1" applyAlignment="1">
      <alignment horizontal="center"/>
    </xf>
    <xf numFmtId="3" fontId="27" fillId="0" borderId="10" xfId="42" applyNumberFormat="1" applyFont="1" applyFill="1" applyBorder="1" applyAlignment="1">
      <alignment/>
    </xf>
    <xf numFmtId="0" fontId="0" fillId="0" borderId="10" xfId="0" applyFont="1" applyBorder="1" applyAlignment="1">
      <alignment horizontal="left"/>
    </xf>
    <xf numFmtId="0" fontId="0" fillId="0" borderId="10" xfId="0" applyFont="1" applyFill="1" applyBorder="1" applyAlignment="1">
      <alignment horizontal="center"/>
    </xf>
    <xf numFmtId="0" fontId="0" fillId="39" borderId="10" xfId="0" applyFont="1" applyFill="1" applyBorder="1" applyAlignment="1">
      <alignment horizontal="center"/>
    </xf>
    <xf numFmtId="14" fontId="32" fillId="38"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36" fillId="0" borderId="0" xfId="0" applyFont="1" applyAlignment="1">
      <alignment vertical="center"/>
    </xf>
    <xf numFmtId="0" fontId="37" fillId="0" borderId="0" xfId="0" applyFont="1" applyAlignment="1">
      <alignment/>
    </xf>
    <xf numFmtId="0" fontId="37"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vertical="center"/>
    </xf>
    <xf numFmtId="0" fontId="38" fillId="39" borderId="0" xfId="0" applyFont="1" applyFill="1" applyAlignment="1">
      <alignment/>
    </xf>
    <xf numFmtId="0" fontId="37" fillId="0" borderId="0" xfId="0" applyFont="1" applyAlignment="1">
      <alignment horizontal="center"/>
    </xf>
    <xf numFmtId="0" fontId="96" fillId="0" borderId="0" xfId="0" applyFont="1" applyAlignment="1">
      <alignment horizontal="center"/>
    </xf>
    <xf numFmtId="0" fontId="7" fillId="0" borderId="0" xfId="0" applyFont="1" applyAlignment="1">
      <alignment/>
    </xf>
    <xf numFmtId="49" fontId="33" fillId="38" borderId="10" xfId="0" applyNumberFormat="1" applyFont="1" applyFill="1" applyBorder="1" applyAlignment="1" applyProtection="1" quotePrefix="1">
      <alignment horizontal="left" vertical="center"/>
      <protection locked="0"/>
    </xf>
    <xf numFmtId="0" fontId="32" fillId="38" borderId="0" xfId="0" applyFont="1" applyFill="1" applyBorder="1" applyAlignment="1" applyProtection="1">
      <alignment vertical="center"/>
      <protection/>
    </xf>
    <xf numFmtId="49" fontId="33" fillId="38" borderId="0" xfId="0" applyNumberFormat="1" applyFont="1" applyFill="1" applyBorder="1" applyAlignment="1" applyProtection="1">
      <alignment horizontal="left" vertical="center"/>
      <protection locked="0"/>
    </xf>
    <xf numFmtId="0" fontId="36" fillId="19" borderId="10" xfId="0" applyFont="1" applyFill="1" applyBorder="1" applyAlignment="1">
      <alignment horizontal="center"/>
    </xf>
    <xf numFmtId="0" fontId="17" fillId="11" borderId="11" xfId="0" applyFont="1" applyFill="1" applyBorder="1" applyAlignment="1">
      <alignment horizontal="center" vertical="center" wrapText="1"/>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9" borderId="10" xfId="42" applyNumberFormat="1" applyFont="1" applyFill="1" applyBorder="1" applyAlignment="1">
      <alignment/>
    </xf>
    <xf numFmtId="49" fontId="7" fillId="39" borderId="10" xfId="0" applyNumberFormat="1" applyFont="1" applyFill="1" applyBorder="1" applyAlignment="1" quotePrefix="1">
      <alignment/>
    </xf>
    <xf numFmtId="14" fontId="34" fillId="0" borderId="10" xfId="0" applyNumberFormat="1" applyFont="1" applyBorder="1" applyAlignment="1">
      <alignment/>
    </xf>
    <xf numFmtId="173" fontId="34" fillId="0" borderId="10" xfId="0" applyNumberFormat="1" applyFont="1" applyBorder="1" applyAlignment="1">
      <alignment/>
    </xf>
    <xf numFmtId="173" fontId="34" fillId="0" borderId="10" xfId="0" applyNumberFormat="1" applyFont="1" applyBorder="1" applyAlignment="1" quotePrefix="1">
      <alignment/>
    </xf>
    <xf numFmtId="49" fontId="34" fillId="39" borderId="10" xfId="0" applyNumberFormat="1" applyFont="1" applyFill="1" applyBorder="1" applyAlignment="1" quotePrefix="1">
      <alignment/>
    </xf>
    <xf numFmtId="3" fontId="34" fillId="39" borderId="10" xfId="42" applyNumberFormat="1" applyFont="1" applyFill="1" applyBorder="1" applyAlignment="1">
      <alignment/>
    </xf>
    <xf numFmtId="0" fontId="34" fillId="0" borderId="0" xfId="0" applyFont="1" applyAlignment="1">
      <alignment/>
    </xf>
    <xf numFmtId="3" fontId="97" fillId="39" borderId="10" xfId="42" applyNumberFormat="1" applyFont="1" applyFill="1" applyBorder="1" applyAlignment="1">
      <alignment/>
    </xf>
    <xf numFmtId="37" fontId="7" fillId="0" borderId="10" xfId="42" applyNumberFormat="1" applyFont="1" applyFill="1" applyBorder="1" applyAlignment="1">
      <alignment/>
    </xf>
    <xf numFmtId="3" fontId="98" fillId="39"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8" fillId="0" borderId="0" xfId="0" applyFont="1" applyAlignment="1">
      <alignment/>
    </xf>
    <xf numFmtId="0" fontId="0" fillId="0" borderId="0" xfId="0" applyAlignment="1">
      <alignment vertical="center"/>
    </xf>
    <xf numFmtId="3" fontId="99" fillId="0" borderId="10" xfId="0" applyNumberFormat="1" applyFont="1" applyBorder="1" applyAlignment="1">
      <alignment horizontal="center" vertical="center"/>
    </xf>
    <xf numFmtId="175" fontId="99" fillId="0" borderId="10" xfId="42" applyNumberFormat="1" applyFont="1" applyFill="1" applyBorder="1" applyAlignment="1">
      <alignment horizontal="center" vertical="center"/>
    </xf>
    <xf numFmtId="0" fontId="100" fillId="0" borderId="0" xfId="0" applyFont="1" applyAlignment="1">
      <alignment vertical="center"/>
    </xf>
    <xf numFmtId="175" fontId="0" fillId="0" borderId="10" xfId="42" applyNumberFormat="1" applyFont="1" applyFill="1" applyBorder="1" applyAlignment="1">
      <alignment horizontal="center" wrapText="1"/>
    </xf>
    <xf numFmtId="0" fontId="101" fillId="0" borderId="0" xfId="0" applyFont="1" applyAlignment="1">
      <alignment/>
    </xf>
    <xf numFmtId="0" fontId="102" fillId="0" borderId="0" xfId="0" applyFont="1" applyAlignment="1">
      <alignment/>
    </xf>
    <xf numFmtId="175" fontId="0" fillId="39"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9" borderId="10" xfId="0" applyNumberFormat="1" applyFont="1" applyFill="1" applyBorder="1" applyAlignment="1">
      <alignment/>
    </xf>
    <xf numFmtId="173" fontId="0" fillId="39" borderId="10" xfId="0" applyNumberFormat="1" applyFont="1" applyFill="1" applyBorder="1" applyAlignment="1">
      <alignment horizontal="center"/>
    </xf>
    <xf numFmtId="3" fontId="0" fillId="39" borderId="10" xfId="0" applyNumberFormat="1" applyFont="1" applyFill="1" applyBorder="1" applyAlignment="1">
      <alignment wrapText="1"/>
    </xf>
    <xf numFmtId="175" fontId="0" fillId="39" borderId="10" xfId="42" applyNumberFormat="1" applyFont="1" applyFill="1" applyBorder="1" applyAlignment="1">
      <alignment horizontal="center" wrapText="1"/>
    </xf>
    <xf numFmtId="175" fontId="0" fillId="39" borderId="0" xfId="42" applyNumberFormat="1" applyFont="1" applyFill="1" applyAlignment="1">
      <alignment/>
    </xf>
    <xf numFmtId="0" fontId="0" fillId="39" borderId="10" xfId="0" applyFont="1" applyFill="1" applyBorder="1" applyAlignment="1">
      <alignment wrapText="1"/>
    </xf>
    <xf numFmtId="49" fontId="103" fillId="0" borderId="10" xfId="0" applyNumberFormat="1" applyFont="1" applyBorder="1" applyAlignment="1" quotePrefix="1">
      <alignment/>
    </xf>
    <xf numFmtId="49" fontId="103" fillId="39" borderId="10" xfId="0" applyNumberFormat="1" applyFont="1" applyFill="1" applyBorder="1" applyAlignment="1" quotePrefix="1">
      <alignment/>
    </xf>
    <xf numFmtId="49" fontId="103" fillId="0" borderId="10" xfId="0" applyNumberFormat="1" applyFont="1" applyBorder="1" applyAlignment="1">
      <alignment/>
    </xf>
    <xf numFmtId="49" fontId="103" fillId="39" borderId="10" xfId="0" applyNumberFormat="1" applyFont="1" applyFill="1" applyBorder="1" applyAlignment="1">
      <alignment/>
    </xf>
    <xf numFmtId="49" fontId="104" fillId="39" borderId="10" xfId="0" applyNumberFormat="1" applyFont="1" applyFill="1" applyBorder="1" applyAlignment="1" quotePrefix="1">
      <alignment/>
    </xf>
    <xf numFmtId="49" fontId="103"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5" fillId="11" borderId="10"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98" fillId="11" borderId="10"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14" xfId="0" applyFont="1" applyFill="1" applyBorder="1" applyAlignment="1">
      <alignment horizontal="center"/>
    </xf>
    <xf numFmtId="0" fontId="17" fillId="11" borderId="15" xfId="0" applyFont="1" applyFill="1" applyBorder="1" applyAlignment="1">
      <alignment horizontal="center"/>
    </xf>
    <xf numFmtId="175" fontId="17" fillId="11" borderId="16" xfId="42" applyNumberFormat="1" applyFont="1" applyFill="1" applyBorder="1" applyAlignment="1">
      <alignment horizontal="centerContinuous"/>
    </xf>
    <xf numFmtId="175" fontId="17" fillId="11" borderId="17" xfId="42" applyNumberFormat="1" applyFont="1" applyFill="1" applyBorder="1" applyAlignment="1">
      <alignment horizontal="centerContinuous"/>
    </xf>
    <xf numFmtId="0" fontId="17" fillId="11" borderId="18" xfId="0" applyFont="1" applyFill="1" applyBorder="1" applyAlignment="1">
      <alignment horizontal="center"/>
    </xf>
    <xf numFmtId="0" fontId="17" fillId="11" borderId="19" xfId="0" applyFont="1" applyFill="1" applyBorder="1" applyAlignment="1">
      <alignment horizontal="center"/>
    </xf>
    <xf numFmtId="175" fontId="17" fillId="11" borderId="20" xfId="42" applyNumberFormat="1" applyFont="1" applyFill="1" applyBorder="1" applyAlignment="1">
      <alignment horizontal="center"/>
    </xf>
    <xf numFmtId="175" fontId="17" fillId="11" borderId="21" xfId="42" applyNumberFormat="1" applyFont="1" applyFill="1" applyBorder="1" applyAlignment="1">
      <alignment horizontal="center"/>
    </xf>
    <xf numFmtId="0" fontId="21" fillId="11" borderId="10" xfId="0" applyFont="1" applyFill="1" applyBorder="1" applyAlignment="1">
      <alignment horizontal="center" vertical="center" wrapText="1"/>
    </xf>
    <xf numFmtId="0" fontId="106" fillId="0" borderId="0" xfId="0" applyFont="1" applyAlignment="1">
      <alignment/>
    </xf>
    <xf numFmtId="173" fontId="7" fillId="39" borderId="10" xfId="0" applyNumberFormat="1" applyFont="1" applyFill="1" applyBorder="1" applyAlignment="1">
      <alignment/>
    </xf>
    <xf numFmtId="173" fontId="34" fillId="39" borderId="10" xfId="0" applyNumberFormat="1" applyFont="1" applyFill="1" applyBorder="1" applyAlignment="1">
      <alignment/>
    </xf>
    <xf numFmtId="173" fontId="7" fillId="0" borderId="10" xfId="0" applyNumberFormat="1" applyFont="1" applyBorder="1" applyAlignment="1">
      <alignment wrapText="1"/>
    </xf>
    <xf numFmtId="0" fontId="107" fillId="0" borderId="0" xfId="0" applyFont="1" applyAlignment="1" quotePrefix="1">
      <alignment horizontal="left" vertical="center"/>
    </xf>
    <xf numFmtId="0" fontId="108" fillId="0" borderId="22" xfId="0" applyFont="1" applyBorder="1" applyAlignment="1">
      <alignment/>
    </xf>
    <xf numFmtId="0" fontId="109" fillId="0" borderId="0" xfId="0" applyFont="1" applyAlignment="1">
      <alignment/>
    </xf>
    <xf numFmtId="0" fontId="36" fillId="40" borderId="10" xfId="0" applyFont="1" applyFill="1" applyBorder="1" applyAlignment="1">
      <alignment/>
    </xf>
    <xf numFmtId="0" fontId="110" fillId="0" borderId="0" xfId="0" applyFont="1" applyAlignment="1">
      <alignment horizontal="left" wrapText="1"/>
    </xf>
    <xf numFmtId="0" fontId="111" fillId="15" borderId="23" xfId="0" applyFont="1" applyFill="1" applyBorder="1" applyAlignment="1">
      <alignment horizontal="left"/>
    </xf>
    <xf numFmtId="0" fontId="111" fillId="15" borderId="4" xfId="0" applyFont="1" applyFill="1" applyBorder="1" applyAlignment="1">
      <alignment horizontal="left"/>
    </xf>
    <xf numFmtId="0" fontId="111" fillId="15" borderId="13" xfId="0" applyFont="1" applyFill="1" applyBorder="1" applyAlignment="1">
      <alignment horizontal="left"/>
    </xf>
    <xf numFmtId="0" fontId="112" fillId="40" borderId="0" xfId="0" applyFont="1" applyFill="1" applyAlignment="1">
      <alignment horizontal="center"/>
    </xf>
    <xf numFmtId="49" fontId="35" fillId="0" borderId="10" xfId="0" applyNumberFormat="1" applyFont="1" applyBorder="1" applyAlignment="1">
      <alignment horizontal="center"/>
    </xf>
    <xf numFmtId="0" fontId="113" fillId="40" borderId="0" xfId="0" applyFont="1" applyFill="1" applyBorder="1" applyAlignment="1">
      <alignment horizontal="center"/>
    </xf>
    <xf numFmtId="0" fontId="15" fillId="40" borderId="24" xfId="0" applyFont="1" applyFill="1" applyBorder="1" applyAlignment="1">
      <alignment horizontal="center" vertical="center"/>
    </xf>
    <xf numFmtId="0" fontId="99" fillId="0" borderId="23" xfId="0" applyFont="1" applyBorder="1" applyAlignment="1">
      <alignment horizontal="center" vertical="center" wrapText="1"/>
    </xf>
    <xf numFmtId="0" fontId="99" fillId="0" borderId="4" xfId="0" applyFont="1" applyBorder="1" applyAlignment="1">
      <alignment horizontal="center" vertical="center" wrapText="1"/>
    </xf>
    <xf numFmtId="0" fontId="99" fillId="0" borderId="13" xfId="0" applyFont="1" applyBorder="1" applyAlignment="1">
      <alignment horizontal="center" vertical="center" wrapText="1"/>
    </xf>
    <xf numFmtId="0" fontId="15" fillId="40" borderId="0" xfId="0" applyFont="1" applyFill="1" applyAlignment="1">
      <alignment horizontal="center"/>
    </xf>
    <xf numFmtId="0" fontId="17" fillId="11" borderId="10"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29" fillId="0" borderId="0" xfId="0" applyFont="1" applyAlignment="1">
      <alignment horizontal="center"/>
    </xf>
    <xf numFmtId="0" fontId="15" fillId="40" borderId="0" xfId="0" applyFont="1" applyFill="1" applyAlignment="1">
      <alignment horizontal="center" vertical="center"/>
    </xf>
    <xf numFmtId="0" fontId="22" fillId="0" borderId="0" xfId="0" applyFont="1" applyFill="1" applyBorder="1" applyAlignment="1">
      <alignment horizontal="center"/>
    </xf>
    <xf numFmtId="0" fontId="17" fillId="11" borderId="16"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14" fillId="40" borderId="0" xfId="0" applyFont="1" applyFill="1" applyAlignment="1">
      <alignment horizontal="center" vertical="center" wrapText="1"/>
    </xf>
    <xf numFmtId="0" fontId="21" fillId="11" borderId="10"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229552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2295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J19"/>
  <sheetViews>
    <sheetView showGridLines="0" tabSelected="1" zoomScalePageLayoutView="0" workbookViewId="0" topLeftCell="A1">
      <selection activeCell="F3" sqref="F3"/>
    </sheetView>
  </sheetViews>
  <sheetFormatPr defaultColWidth="9.140625" defaultRowHeight="12.75"/>
  <cols>
    <col min="1" max="1" width="11.7109375" style="59" customWidth="1"/>
    <col min="2" max="9" width="9.140625" style="59" customWidth="1"/>
    <col min="10" max="10" width="18.28125" style="59" customWidth="1"/>
    <col min="11" max="16384" width="9.140625" style="59" customWidth="1"/>
  </cols>
  <sheetData>
    <row r="1" ht="18.75">
      <c r="A1" s="138" t="s">
        <v>1181</v>
      </c>
    </row>
    <row r="2" ht="18.75">
      <c r="A2" s="58" t="s">
        <v>891</v>
      </c>
    </row>
    <row r="3" ht="18.75">
      <c r="A3" s="58" t="s">
        <v>895</v>
      </c>
    </row>
    <row r="4" spans="1:7" ht="18.75">
      <c r="A4" s="60" t="s">
        <v>1182</v>
      </c>
      <c r="B4" s="58"/>
      <c r="C4" s="58"/>
      <c r="D4" s="58"/>
      <c r="E4" s="58"/>
      <c r="F4" s="58"/>
      <c r="G4" s="58"/>
    </row>
    <row r="5" ht="18.75">
      <c r="A5" s="61" t="s">
        <v>1183</v>
      </c>
    </row>
    <row r="6" spans="1:6" ht="18.75">
      <c r="A6" s="60" t="s">
        <v>1184</v>
      </c>
      <c r="B6" s="58"/>
      <c r="C6" s="58"/>
      <c r="D6" s="58"/>
      <c r="E6" s="58"/>
      <c r="F6" s="58"/>
    </row>
    <row r="7" ht="18.75">
      <c r="A7" s="142" t="s">
        <v>1175</v>
      </c>
    </row>
    <row r="8" spans="1:8" ht="18.75">
      <c r="A8" s="142" t="s">
        <v>1176</v>
      </c>
      <c r="B8" s="62"/>
      <c r="C8" s="62"/>
      <c r="D8" s="62"/>
      <c r="E8" s="62"/>
      <c r="F8" s="62"/>
      <c r="G8" s="62"/>
      <c r="H8" s="62"/>
    </row>
    <row r="10" ht="18.75">
      <c r="A10" s="63"/>
    </row>
    <row r="11" spans="1:10" ht="57.75" customHeight="1">
      <c r="A11" s="146" t="s">
        <v>1177</v>
      </c>
      <c r="B11" s="146"/>
      <c r="C11" s="146"/>
      <c r="D11" s="146"/>
      <c r="E11" s="146"/>
      <c r="F11" s="146"/>
      <c r="G11" s="146"/>
      <c r="H11" s="146"/>
      <c r="I11" s="146"/>
      <c r="J11" s="146"/>
    </row>
    <row r="12" ht="18.75">
      <c r="J12" s="64"/>
    </row>
    <row r="13" spans="1:10" ht="18.75">
      <c r="A13" s="145" t="s">
        <v>892</v>
      </c>
      <c r="B13" s="147" t="s">
        <v>1171</v>
      </c>
      <c r="C13" s="148"/>
      <c r="D13" s="148"/>
      <c r="E13" s="148"/>
      <c r="F13" s="148"/>
      <c r="G13" s="148"/>
      <c r="H13" s="148"/>
      <c r="I13" s="149"/>
      <c r="J13" s="70" t="s">
        <v>1173</v>
      </c>
    </row>
    <row r="14" spans="1:10" ht="18.75">
      <c r="A14" s="145" t="s">
        <v>893</v>
      </c>
      <c r="B14" s="147" t="s">
        <v>1180</v>
      </c>
      <c r="C14" s="148"/>
      <c r="D14" s="148"/>
      <c r="E14" s="148"/>
      <c r="F14" s="148"/>
      <c r="G14" s="148"/>
      <c r="H14" s="148"/>
      <c r="I14" s="149"/>
      <c r="J14" s="70" t="s">
        <v>1174</v>
      </c>
    </row>
    <row r="15" spans="1:10" ht="18.75">
      <c r="A15" s="145" t="s">
        <v>946</v>
      </c>
      <c r="B15" s="147" t="s">
        <v>1172</v>
      </c>
      <c r="C15" s="148"/>
      <c r="D15" s="148"/>
      <c r="E15" s="148"/>
      <c r="F15" s="148"/>
      <c r="G15" s="148"/>
      <c r="H15" s="148"/>
      <c r="I15" s="149"/>
      <c r="J15" s="70" t="s">
        <v>1174</v>
      </c>
    </row>
    <row r="16" ht="18.75">
      <c r="A16" s="143" t="s">
        <v>1178</v>
      </c>
    </row>
    <row r="17" ht="18.75">
      <c r="A17" s="144" t="s">
        <v>1179</v>
      </c>
    </row>
    <row r="19" ht="18.75">
      <c r="F19" s="65" t="s">
        <v>894</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B19" sqref="B19"/>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50" t="s">
        <v>814</v>
      </c>
      <c r="B1" s="150"/>
      <c r="F1" s="40"/>
    </row>
    <row r="2" spans="1:6" ht="18.75">
      <c r="A2" s="138" t="s">
        <v>1181</v>
      </c>
      <c r="F2" s="40"/>
    </row>
    <row r="3" ht="14.25">
      <c r="F3" s="40"/>
    </row>
    <row r="4" ht="14.25">
      <c r="F4" s="40"/>
    </row>
    <row r="5" spans="1:2" ht="12.75">
      <c r="A5" s="41" t="s">
        <v>325</v>
      </c>
      <c r="B5" s="41" t="s">
        <v>815</v>
      </c>
    </row>
    <row r="6" spans="1:2" ht="12.75">
      <c r="A6" s="42" t="s">
        <v>816</v>
      </c>
      <c r="B6" s="43" t="s">
        <v>896</v>
      </c>
    </row>
    <row r="7" spans="1:2" ht="12.75">
      <c r="A7" s="42" t="s">
        <v>489</v>
      </c>
      <c r="B7" s="43" t="s">
        <v>897</v>
      </c>
    </row>
    <row r="8" spans="1:2" ht="12.75">
      <c r="A8" s="42" t="s">
        <v>817</v>
      </c>
      <c r="B8" s="67" t="s">
        <v>898</v>
      </c>
    </row>
    <row r="9" spans="1:2" ht="12.75">
      <c r="A9" s="42" t="s">
        <v>818</v>
      </c>
      <c r="B9" s="43" t="s">
        <v>899</v>
      </c>
    </row>
    <row r="10" spans="1:2" ht="12.75">
      <c r="A10" s="42" t="s">
        <v>819</v>
      </c>
      <c r="B10" s="43" t="s">
        <v>900</v>
      </c>
    </row>
    <row r="11" spans="1:2" ht="12.75">
      <c r="A11" s="42" t="s">
        <v>820</v>
      </c>
      <c r="B11" s="43" t="s">
        <v>901</v>
      </c>
    </row>
    <row r="12" spans="1:2" ht="12.75">
      <c r="A12" s="42" t="s">
        <v>889</v>
      </c>
      <c r="B12" s="43" t="s">
        <v>902</v>
      </c>
    </row>
    <row r="13" spans="1:2" ht="12.75">
      <c r="A13" s="68" t="s">
        <v>903</v>
      </c>
      <c r="B13" s="69"/>
    </row>
    <row r="14" spans="1:2" ht="12.75">
      <c r="A14" s="68"/>
      <c r="B14" s="69"/>
    </row>
    <row r="15" spans="1:2" ht="12.75">
      <c r="A15" s="68"/>
      <c r="B15" s="69"/>
    </row>
    <row r="16" spans="1:2" ht="12.75">
      <c r="A16" s="44"/>
      <c r="B16" s="44"/>
    </row>
    <row r="17" spans="1:2" ht="12.75">
      <c r="A17" s="41" t="s">
        <v>821</v>
      </c>
      <c r="B17" s="45">
        <v>2020</v>
      </c>
    </row>
    <row r="18" spans="1:2" ht="16.5" customHeight="1">
      <c r="A18" s="46" t="s">
        <v>822</v>
      </c>
      <c r="B18" s="47"/>
    </row>
    <row r="19" spans="1:2" ht="12.75">
      <c r="A19" s="48" t="s">
        <v>823</v>
      </c>
      <c r="B19" s="56" t="s">
        <v>947</v>
      </c>
    </row>
    <row r="20" spans="1:2" ht="12.75">
      <c r="A20" s="48" t="s">
        <v>824</v>
      </c>
      <c r="B20" s="56" t="s">
        <v>948</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33"/>
  <sheetViews>
    <sheetView showGridLines="0" zoomScale="85" zoomScaleNormal="85" zoomScalePageLayoutView="0" workbookViewId="0" topLeftCell="A1">
      <selection activeCell="A11" sqref="A11:J11"/>
    </sheetView>
  </sheetViews>
  <sheetFormatPr defaultColWidth="11.421875" defaultRowHeight="12.75"/>
  <cols>
    <col min="1" max="1" width="10.140625" style="66" bestFit="1" customWidth="1"/>
    <col min="2" max="2" width="9.7109375" style="66" customWidth="1"/>
    <col min="3" max="5" width="12.28125" style="95" customWidth="1"/>
    <col min="6" max="6" width="11.57421875" style="95" customWidth="1"/>
    <col min="7" max="7" width="57.421875" style="66" bestFit="1" customWidth="1"/>
    <col min="8" max="8" width="11.7109375" style="93" bestFit="1" customWidth="1"/>
    <col min="9" max="9" width="10.28125" style="93" customWidth="1"/>
    <col min="10" max="10" width="10.28125" style="94" customWidth="1"/>
    <col min="11" max="11" width="14.00390625" style="94" customWidth="1"/>
    <col min="12" max="16384" width="11.421875" style="66" customWidth="1"/>
  </cols>
  <sheetData>
    <row r="1" ht="18.75">
      <c r="A1" s="138" t="s">
        <v>1181</v>
      </c>
    </row>
    <row r="2" spans="1:11" ht="25.5">
      <c r="A2" s="152" t="s">
        <v>905</v>
      </c>
      <c r="B2" s="152"/>
      <c r="C2" s="152"/>
      <c r="D2" s="152"/>
      <c r="E2" s="152"/>
      <c r="F2" s="152"/>
      <c r="G2" s="152"/>
      <c r="H2" s="152"/>
      <c r="I2" s="152"/>
      <c r="J2" s="152"/>
      <c r="K2" s="152"/>
    </row>
    <row r="4" spans="3:11" ht="12.75">
      <c r="C4" s="66"/>
      <c r="D4" s="66"/>
      <c r="E4" s="66"/>
      <c r="F4" s="66"/>
      <c r="H4" s="151" t="s">
        <v>104</v>
      </c>
      <c r="I4" s="151"/>
      <c r="J4" s="52">
        <f>SUM(J6:J65536)</f>
        <v>380188</v>
      </c>
      <c r="K4" s="52">
        <f>SUM(K6:K65536)</f>
        <v>14447662112.14814</v>
      </c>
    </row>
    <row r="5" spans="1:11" s="72" customFormat="1" ht="74.25" customHeight="1">
      <c r="A5" s="125" t="s">
        <v>105</v>
      </c>
      <c r="B5" s="125" t="s">
        <v>106</v>
      </c>
      <c r="C5" s="125" t="s">
        <v>626</v>
      </c>
      <c r="D5" s="126" t="s">
        <v>625</v>
      </c>
      <c r="E5" s="125" t="s">
        <v>629</v>
      </c>
      <c r="F5" s="125" t="s">
        <v>107</v>
      </c>
      <c r="G5" s="125" t="s">
        <v>108</v>
      </c>
      <c r="H5" s="125" t="s">
        <v>109</v>
      </c>
      <c r="I5" s="125" t="s">
        <v>110</v>
      </c>
      <c r="J5" s="125" t="s">
        <v>111</v>
      </c>
      <c r="K5" s="125" t="s">
        <v>112</v>
      </c>
    </row>
    <row r="6" spans="1:11" ht="12.75">
      <c r="A6" s="73" t="str">
        <f>F6</f>
        <v>01/10/2020</v>
      </c>
      <c r="B6" s="74" t="s">
        <v>223</v>
      </c>
      <c r="C6" s="75"/>
      <c r="D6" s="74" t="s">
        <v>504</v>
      </c>
      <c r="E6" s="74" t="s">
        <v>726</v>
      </c>
      <c r="F6" s="76" t="s">
        <v>906</v>
      </c>
      <c r="G6" s="77" t="s">
        <v>949</v>
      </c>
      <c r="H6" s="78" t="s">
        <v>344</v>
      </c>
      <c r="I6" s="78" t="s">
        <v>347</v>
      </c>
      <c r="J6" s="79"/>
      <c r="K6" s="79">
        <v>25000000</v>
      </c>
    </row>
    <row r="7" spans="1:11" ht="12.75">
      <c r="A7" s="73" t="str">
        <f aca="true" t="shared" si="0" ref="A7:A70">F7</f>
        <v>01/10/2020</v>
      </c>
      <c r="B7" s="74" t="s">
        <v>225</v>
      </c>
      <c r="C7" s="75"/>
      <c r="D7" s="75"/>
      <c r="E7" s="74"/>
      <c r="F7" s="76" t="s">
        <v>906</v>
      </c>
      <c r="G7" s="77" t="s">
        <v>950</v>
      </c>
      <c r="H7" s="78" t="s">
        <v>66</v>
      </c>
      <c r="I7" s="78" t="s">
        <v>344</v>
      </c>
      <c r="J7" s="79"/>
      <c r="K7" s="79">
        <v>2000000</v>
      </c>
    </row>
    <row r="8" spans="1:11" ht="12.75">
      <c r="A8" s="73" t="str">
        <f t="shared" si="0"/>
        <v>01/10/2020</v>
      </c>
      <c r="B8" s="74" t="s">
        <v>225</v>
      </c>
      <c r="C8" s="75"/>
      <c r="D8" s="75"/>
      <c r="E8" s="74"/>
      <c r="F8" s="76" t="s">
        <v>906</v>
      </c>
      <c r="G8" s="77" t="s">
        <v>951</v>
      </c>
      <c r="H8" s="78" t="s">
        <v>375</v>
      </c>
      <c r="I8" s="78" t="s">
        <v>344</v>
      </c>
      <c r="J8" s="79"/>
      <c r="K8" s="79">
        <f>K7*0.1</f>
        <v>200000</v>
      </c>
    </row>
    <row r="9" spans="1:11" ht="12.75">
      <c r="A9" s="73" t="str">
        <f t="shared" si="0"/>
        <v>01/10/2020</v>
      </c>
      <c r="B9" s="74" t="s">
        <v>226</v>
      </c>
      <c r="C9" s="75"/>
      <c r="D9" s="75"/>
      <c r="E9" s="74"/>
      <c r="F9" s="76" t="s">
        <v>906</v>
      </c>
      <c r="G9" s="77" t="s">
        <v>952</v>
      </c>
      <c r="H9" s="78" t="s">
        <v>394</v>
      </c>
      <c r="I9" s="78" t="s">
        <v>344</v>
      </c>
      <c r="J9" s="79"/>
      <c r="K9" s="79">
        <v>500000</v>
      </c>
    </row>
    <row r="10" spans="1:11" ht="12.75">
      <c r="A10" s="73" t="str">
        <f t="shared" si="0"/>
        <v>01/10/2020</v>
      </c>
      <c r="B10" s="74" t="s">
        <v>227</v>
      </c>
      <c r="C10" s="75"/>
      <c r="D10" s="75"/>
      <c r="E10" s="74"/>
      <c r="F10" s="76" t="s">
        <v>906</v>
      </c>
      <c r="G10" s="77" t="s">
        <v>953</v>
      </c>
      <c r="H10" s="78" t="s">
        <v>96</v>
      </c>
      <c r="I10" s="78" t="s">
        <v>344</v>
      </c>
      <c r="J10" s="79"/>
      <c r="K10" s="79">
        <v>50000</v>
      </c>
    </row>
    <row r="11" spans="1:11" ht="12.75">
      <c r="A11" s="73" t="str">
        <f t="shared" si="0"/>
        <v>01/10/2020</v>
      </c>
      <c r="B11" s="74" t="s">
        <v>228</v>
      </c>
      <c r="C11" s="75"/>
      <c r="D11" s="75"/>
      <c r="E11" s="74"/>
      <c r="F11" s="76" t="s">
        <v>906</v>
      </c>
      <c r="G11" s="77" t="s">
        <v>954</v>
      </c>
      <c r="H11" s="78" t="s">
        <v>750</v>
      </c>
      <c r="I11" s="78" t="s">
        <v>344</v>
      </c>
      <c r="J11" s="79"/>
      <c r="K11" s="79">
        <v>45620000</v>
      </c>
    </row>
    <row r="12" spans="1:11" ht="12.75">
      <c r="A12" s="73" t="str">
        <f t="shared" si="0"/>
        <v>02/10/2020</v>
      </c>
      <c r="B12" s="74" t="s">
        <v>229</v>
      </c>
      <c r="C12" s="75"/>
      <c r="D12" s="75"/>
      <c r="E12" s="74"/>
      <c r="F12" s="76" t="s">
        <v>907</v>
      </c>
      <c r="G12" s="77" t="s">
        <v>955</v>
      </c>
      <c r="H12" s="80" t="s">
        <v>349</v>
      </c>
      <c r="I12" s="80" t="s">
        <v>344</v>
      </c>
      <c r="J12" s="79"/>
      <c r="K12" s="79">
        <v>20000000</v>
      </c>
    </row>
    <row r="13" spans="1:11" ht="12.75">
      <c r="A13" s="73" t="str">
        <f t="shared" si="0"/>
        <v>02/10/2020</v>
      </c>
      <c r="B13" s="74" t="s">
        <v>324</v>
      </c>
      <c r="C13" s="75"/>
      <c r="D13" s="74" t="s">
        <v>908</v>
      </c>
      <c r="E13" s="74" t="s">
        <v>689</v>
      </c>
      <c r="F13" s="76" t="s">
        <v>907</v>
      </c>
      <c r="G13" s="77" t="s">
        <v>956</v>
      </c>
      <c r="H13" s="78" t="s">
        <v>189</v>
      </c>
      <c r="I13" s="80" t="s">
        <v>349</v>
      </c>
      <c r="J13" s="79">
        <v>1000</v>
      </c>
      <c r="K13" s="79">
        <v>20000000</v>
      </c>
    </row>
    <row r="14" spans="1:11" ht="12.75">
      <c r="A14" s="73" t="str">
        <f t="shared" si="0"/>
        <v>02/10/2020</v>
      </c>
      <c r="B14" s="74"/>
      <c r="C14" s="74" t="s">
        <v>230</v>
      </c>
      <c r="D14" s="74"/>
      <c r="E14" s="74" t="s">
        <v>630</v>
      </c>
      <c r="F14" s="76" t="s">
        <v>907</v>
      </c>
      <c r="G14" s="77" t="s">
        <v>957</v>
      </c>
      <c r="H14" s="80" t="s">
        <v>396</v>
      </c>
      <c r="I14" s="78" t="s">
        <v>430</v>
      </c>
      <c r="J14" s="79">
        <v>1000</v>
      </c>
      <c r="K14" s="79">
        <f>1000*20200</f>
        <v>20200000</v>
      </c>
    </row>
    <row r="15" spans="1:11" ht="12.75">
      <c r="A15" s="73" t="str">
        <f t="shared" si="0"/>
        <v>02/10/2020</v>
      </c>
      <c r="B15" s="74"/>
      <c r="C15" s="74"/>
      <c r="D15" s="74" t="s">
        <v>505</v>
      </c>
      <c r="E15" s="74" t="s">
        <v>630</v>
      </c>
      <c r="F15" s="76" t="s">
        <v>907</v>
      </c>
      <c r="G15" s="77" t="s">
        <v>958</v>
      </c>
      <c r="H15" s="80" t="s">
        <v>396</v>
      </c>
      <c r="I15" s="78" t="s">
        <v>455</v>
      </c>
      <c r="J15" s="79"/>
      <c r="K15" s="79">
        <f>K14*0.05</f>
        <v>1010000</v>
      </c>
    </row>
    <row r="16" spans="1:11" ht="12.75">
      <c r="A16" s="73" t="str">
        <f t="shared" si="0"/>
        <v>02/10/2020</v>
      </c>
      <c r="B16" s="74"/>
      <c r="C16" s="75"/>
      <c r="D16" s="74" t="s">
        <v>505</v>
      </c>
      <c r="E16" s="74" t="s">
        <v>630</v>
      </c>
      <c r="F16" s="76" t="s">
        <v>907</v>
      </c>
      <c r="G16" s="77" t="s">
        <v>959</v>
      </c>
      <c r="H16" s="78" t="s">
        <v>375</v>
      </c>
      <c r="I16" s="78" t="s">
        <v>450</v>
      </c>
      <c r="J16" s="79"/>
      <c r="K16" s="79">
        <f>(K14+K15)*0.1</f>
        <v>2121000</v>
      </c>
    </row>
    <row r="17" spans="1:11" ht="12.75">
      <c r="A17" s="73" t="str">
        <f t="shared" si="0"/>
        <v>02/10/2020</v>
      </c>
      <c r="B17" s="74" t="s">
        <v>231</v>
      </c>
      <c r="C17" s="74"/>
      <c r="D17" s="74"/>
      <c r="E17" s="75" t="s">
        <v>631</v>
      </c>
      <c r="F17" s="76" t="s">
        <v>907</v>
      </c>
      <c r="G17" s="77" t="s">
        <v>960</v>
      </c>
      <c r="H17" s="80" t="s">
        <v>396</v>
      </c>
      <c r="I17" s="78" t="s">
        <v>344</v>
      </c>
      <c r="J17" s="79"/>
      <c r="K17" s="79">
        <v>1000000</v>
      </c>
    </row>
    <row r="18" spans="1:11" ht="12.75">
      <c r="A18" s="73" t="str">
        <f t="shared" si="0"/>
        <v>02/10/2020</v>
      </c>
      <c r="B18" s="74" t="s">
        <v>231</v>
      </c>
      <c r="C18" s="74"/>
      <c r="D18" s="74"/>
      <c r="E18" s="75" t="s">
        <v>631</v>
      </c>
      <c r="F18" s="76" t="s">
        <v>907</v>
      </c>
      <c r="G18" s="77" t="s">
        <v>951</v>
      </c>
      <c r="H18" s="78" t="s">
        <v>375</v>
      </c>
      <c r="I18" s="78" t="s">
        <v>344</v>
      </c>
      <c r="J18" s="79"/>
      <c r="K18" s="79">
        <f>K17*0.1</f>
        <v>100000</v>
      </c>
    </row>
    <row r="19" spans="1:11" ht="12.75">
      <c r="A19" s="73" t="str">
        <f t="shared" si="0"/>
        <v>03/10/2020</v>
      </c>
      <c r="B19" s="74" t="s">
        <v>232</v>
      </c>
      <c r="C19" s="75"/>
      <c r="D19" s="75"/>
      <c r="E19" s="75" t="s">
        <v>632</v>
      </c>
      <c r="F19" s="76" t="s">
        <v>909</v>
      </c>
      <c r="G19" s="77" t="s">
        <v>961</v>
      </c>
      <c r="H19" s="78" t="s">
        <v>96</v>
      </c>
      <c r="I19" s="78" t="s">
        <v>344</v>
      </c>
      <c r="J19" s="79"/>
      <c r="K19" s="79">
        <v>1200000</v>
      </c>
    </row>
    <row r="20" spans="1:11" ht="12.75">
      <c r="A20" s="73" t="str">
        <f t="shared" si="0"/>
        <v>03/10/2020</v>
      </c>
      <c r="B20" s="74" t="s">
        <v>232</v>
      </c>
      <c r="C20" s="75"/>
      <c r="D20" s="75"/>
      <c r="E20" s="75" t="s">
        <v>632</v>
      </c>
      <c r="F20" s="76" t="s">
        <v>909</v>
      </c>
      <c r="G20" s="77" t="s">
        <v>951</v>
      </c>
      <c r="H20" s="78" t="s">
        <v>375</v>
      </c>
      <c r="I20" s="78" t="s">
        <v>344</v>
      </c>
      <c r="J20" s="79"/>
      <c r="K20" s="79">
        <v>120000</v>
      </c>
    </row>
    <row r="21" spans="1:11" ht="12.75">
      <c r="A21" s="73" t="str">
        <f t="shared" si="0"/>
        <v>03/10/2020</v>
      </c>
      <c r="B21" s="74" t="s">
        <v>233</v>
      </c>
      <c r="C21" s="75"/>
      <c r="D21" s="75"/>
      <c r="E21" s="75"/>
      <c r="F21" s="76" t="s">
        <v>909</v>
      </c>
      <c r="G21" s="77" t="s">
        <v>962</v>
      </c>
      <c r="H21" s="78" t="s">
        <v>394</v>
      </c>
      <c r="I21" s="78" t="s">
        <v>344</v>
      </c>
      <c r="J21" s="79"/>
      <c r="K21" s="79">
        <v>1000000</v>
      </c>
    </row>
    <row r="22" spans="1:11" ht="12.75">
      <c r="A22" s="73" t="str">
        <f t="shared" si="0"/>
        <v>04/10/2020</v>
      </c>
      <c r="B22" s="74"/>
      <c r="C22" s="74" t="s">
        <v>234</v>
      </c>
      <c r="D22" s="74" t="s">
        <v>506</v>
      </c>
      <c r="E22" s="75" t="s">
        <v>633</v>
      </c>
      <c r="F22" s="76" t="s">
        <v>910</v>
      </c>
      <c r="G22" s="77" t="s">
        <v>963</v>
      </c>
      <c r="H22" s="78" t="s">
        <v>397</v>
      </c>
      <c r="I22" s="78" t="s">
        <v>434</v>
      </c>
      <c r="J22" s="79">
        <v>500</v>
      </c>
      <c r="K22" s="79">
        <f>500*10000</f>
        <v>5000000</v>
      </c>
    </row>
    <row r="23" spans="1:11" ht="12.75">
      <c r="A23" s="73" t="str">
        <f t="shared" si="0"/>
        <v>04/10/2020</v>
      </c>
      <c r="B23" s="74"/>
      <c r="C23" s="74"/>
      <c r="D23" s="74" t="s">
        <v>506</v>
      </c>
      <c r="E23" s="75" t="s">
        <v>633</v>
      </c>
      <c r="F23" s="76" t="s">
        <v>910</v>
      </c>
      <c r="G23" s="77" t="s">
        <v>951</v>
      </c>
      <c r="H23" s="78" t="s">
        <v>375</v>
      </c>
      <c r="I23" s="78" t="s">
        <v>434</v>
      </c>
      <c r="J23" s="79"/>
      <c r="K23" s="79">
        <v>500000</v>
      </c>
    </row>
    <row r="24" spans="1:11" ht="12.75">
      <c r="A24" s="73" t="str">
        <f t="shared" si="0"/>
        <v>05/10/2020</v>
      </c>
      <c r="B24" s="74" t="s">
        <v>235</v>
      </c>
      <c r="C24" s="74" t="s">
        <v>236</v>
      </c>
      <c r="D24" s="74" t="s">
        <v>507</v>
      </c>
      <c r="E24" s="75" t="s">
        <v>634</v>
      </c>
      <c r="F24" s="76" t="s">
        <v>911</v>
      </c>
      <c r="G24" s="77" t="s">
        <v>964</v>
      </c>
      <c r="H24" s="78" t="s">
        <v>397</v>
      </c>
      <c r="I24" s="78" t="s">
        <v>344</v>
      </c>
      <c r="J24" s="79">
        <v>300</v>
      </c>
      <c r="K24" s="79">
        <f>300*11000</f>
        <v>3300000</v>
      </c>
    </row>
    <row r="25" spans="1:11" ht="12.75">
      <c r="A25" s="73" t="str">
        <f t="shared" si="0"/>
        <v>05/10/2020</v>
      </c>
      <c r="B25" s="74" t="s">
        <v>235</v>
      </c>
      <c r="C25" s="74"/>
      <c r="D25" s="74" t="s">
        <v>507</v>
      </c>
      <c r="E25" s="75" t="s">
        <v>634</v>
      </c>
      <c r="F25" s="76" t="s">
        <v>911</v>
      </c>
      <c r="G25" s="77" t="s">
        <v>951</v>
      </c>
      <c r="H25" s="78" t="s">
        <v>375</v>
      </c>
      <c r="I25" s="78" t="s">
        <v>344</v>
      </c>
      <c r="J25" s="79"/>
      <c r="K25" s="79">
        <v>330000</v>
      </c>
    </row>
    <row r="26" spans="1:11" ht="12.75">
      <c r="A26" s="73" t="str">
        <f t="shared" si="0"/>
        <v>05/10/2020</v>
      </c>
      <c r="B26" s="74" t="s">
        <v>237</v>
      </c>
      <c r="C26" s="74" t="s">
        <v>238</v>
      </c>
      <c r="D26" s="74" t="s">
        <v>508</v>
      </c>
      <c r="E26" s="75" t="s">
        <v>635</v>
      </c>
      <c r="F26" s="76" t="s">
        <v>911</v>
      </c>
      <c r="G26" s="77" t="s">
        <v>965</v>
      </c>
      <c r="H26" s="80" t="s">
        <v>400</v>
      </c>
      <c r="I26" s="78" t="s">
        <v>344</v>
      </c>
      <c r="J26" s="79">
        <v>3000</v>
      </c>
      <c r="K26" s="79">
        <f>J26*2500</f>
        <v>7500000</v>
      </c>
    </row>
    <row r="27" spans="1:11" ht="12.75">
      <c r="A27" s="73" t="str">
        <f t="shared" si="0"/>
        <v>05/10/2020</v>
      </c>
      <c r="B27" s="74" t="s">
        <v>237</v>
      </c>
      <c r="C27" s="74"/>
      <c r="D27" s="74" t="s">
        <v>508</v>
      </c>
      <c r="E27" s="75" t="s">
        <v>635</v>
      </c>
      <c r="F27" s="76" t="s">
        <v>911</v>
      </c>
      <c r="G27" s="77" t="s">
        <v>951</v>
      </c>
      <c r="H27" s="78" t="s">
        <v>375</v>
      </c>
      <c r="I27" s="78" t="s">
        <v>344</v>
      </c>
      <c r="J27" s="79"/>
      <c r="K27" s="79">
        <f>K26*0.1</f>
        <v>750000</v>
      </c>
    </row>
    <row r="28" spans="1:11" ht="12.75">
      <c r="A28" s="73" t="str">
        <f t="shared" si="0"/>
        <v>05/10/2020</v>
      </c>
      <c r="B28" s="74" t="s">
        <v>239</v>
      </c>
      <c r="C28" s="75"/>
      <c r="D28" s="75"/>
      <c r="E28" s="75"/>
      <c r="F28" s="76" t="s">
        <v>911</v>
      </c>
      <c r="G28" s="77" t="s">
        <v>966</v>
      </c>
      <c r="H28" s="78" t="s">
        <v>344</v>
      </c>
      <c r="I28" s="78" t="s">
        <v>747</v>
      </c>
      <c r="J28" s="79"/>
      <c r="K28" s="79">
        <v>100000000</v>
      </c>
    </row>
    <row r="29" spans="1:11" ht="12.75">
      <c r="A29" s="73" t="str">
        <f t="shared" si="0"/>
        <v>05/10/2020</v>
      </c>
      <c r="B29" s="74" t="s">
        <v>240</v>
      </c>
      <c r="C29" s="75"/>
      <c r="D29" s="75"/>
      <c r="E29" s="75"/>
      <c r="F29" s="76" t="s">
        <v>911</v>
      </c>
      <c r="G29" s="77" t="s">
        <v>967</v>
      </c>
      <c r="H29" s="78" t="s">
        <v>344</v>
      </c>
      <c r="I29" s="78" t="s">
        <v>394</v>
      </c>
      <c r="J29" s="79"/>
      <c r="K29" s="79">
        <v>100000</v>
      </c>
    </row>
    <row r="30" spans="1:11" ht="12.75">
      <c r="A30" s="73" t="str">
        <f t="shared" si="0"/>
        <v>06/10/2020</v>
      </c>
      <c r="B30" s="74" t="s">
        <v>241</v>
      </c>
      <c r="C30" s="66"/>
      <c r="D30" s="74" t="s">
        <v>509</v>
      </c>
      <c r="E30" s="75" t="s">
        <v>636</v>
      </c>
      <c r="F30" s="76" t="s">
        <v>912</v>
      </c>
      <c r="G30" s="77" t="s">
        <v>951</v>
      </c>
      <c r="H30" s="78" t="s">
        <v>375</v>
      </c>
      <c r="I30" s="78" t="s">
        <v>344</v>
      </c>
      <c r="J30" s="79"/>
      <c r="K30" s="79">
        <f>K31*0.1</f>
        <v>1250000</v>
      </c>
    </row>
    <row r="31" spans="1:11" ht="12.75">
      <c r="A31" s="73" t="str">
        <f t="shared" si="0"/>
        <v>06/10/2020</v>
      </c>
      <c r="B31" s="74" t="s">
        <v>241</v>
      </c>
      <c r="C31" s="74" t="s">
        <v>624</v>
      </c>
      <c r="D31" s="74" t="s">
        <v>509</v>
      </c>
      <c r="E31" s="75" t="s">
        <v>636</v>
      </c>
      <c r="F31" s="76" t="s">
        <v>912</v>
      </c>
      <c r="G31" s="77" t="s">
        <v>968</v>
      </c>
      <c r="H31" s="78" t="s">
        <v>733</v>
      </c>
      <c r="I31" s="78" t="s">
        <v>344</v>
      </c>
      <c r="J31" s="79">
        <v>50</v>
      </c>
      <c r="K31" s="79">
        <f>J31*250000</f>
        <v>12500000</v>
      </c>
    </row>
    <row r="32" spans="1:11" ht="12.75">
      <c r="A32" s="73" t="str">
        <f t="shared" si="0"/>
        <v>07/10/2020</v>
      </c>
      <c r="B32" s="74" t="s">
        <v>242</v>
      </c>
      <c r="C32" s="75"/>
      <c r="D32" s="75"/>
      <c r="E32" s="75"/>
      <c r="F32" s="76" t="s">
        <v>913</v>
      </c>
      <c r="G32" s="77" t="s">
        <v>969</v>
      </c>
      <c r="H32" s="78" t="s">
        <v>344</v>
      </c>
      <c r="I32" s="78" t="s">
        <v>390</v>
      </c>
      <c r="J32" s="79"/>
      <c r="K32" s="79">
        <v>200000</v>
      </c>
    </row>
    <row r="33" spans="1:11" ht="12.75">
      <c r="A33" s="73" t="str">
        <f t="shared" si="0"/>
        <v>07/10/2020</v>
      </c>
      <c r="B33" s="74" t="s">
        <v>243</v>
      </c>
      <c r="C33" s="75"/>
      <c r="D33" s="74" t="s">
        <v>510</v>
      </c>
      <c r="E33" s="74" t="s">
        <v>637</v>
      </c>
      <c r="F33" s="76" t="s">
        <v>913</v>
      </c>
      <c r="G33" s="77" t="s">
        <v>970</v>
      </c>
      <c r="H33" s="78" t="s">
        <v>344</v>
      </c>
      <c r="I33" s="78" t="s">
        <v>347</v>
      </c>
      <c r="J33" s="79"/>
      <c r="K33" s="79">
        <v>25000000</v>
      </c>
    </row>
    <row r="34" spans="1:11" ht="12.75">
      <c r="A34" s="73" t="str">
        <f t="shared" si="0"/>
        <v>08/10/2020</v>
      </c>
      <c r="B34" s="74" t="s">
        <v>244</v>
      </c>
      <c r="C34" s="75"/>
      <c r="D34" s="75"/>
      <c r="E34" s="75"/>
      <c r="F34" s="76" t="s">
        <v>904</v>
      </c>
      <c r="G34" s="74" t="s">
        <v>971</v>
      </c>
      <c r="H34" s="78" t="s">
        <v>344</v>
      </c>
      <c r="I34" s="78" t="s">
        <v>361</v>
      </c>
      <c r="J34" s="79"/>
      <c r="K34" s="79">
        <v>40000000</v>
      </c>
    </row>
    <row r="35" spans="1:11" ht="12.75">
      <c r="A35" s="73" t="str">
        <f t="shared" si="0"/>
        <v>08/10/2020</v>
      </c>
      <c r="B35" s="74" t="s">
        <v>245</v>
      </c>
      <c r="C35" s="75"/>
      <c r="D35" s="74" t="s">
        <v>511</v>
      </c>
      <c r="E35" s="74" t="s">
        <v>638</v>
      </c>
      <c r="F35" s="76" t="s">
        <v>904</v>
      </c>
      <c r="G35" s="77" t="s">
        <v>970</v>
      </c>
      <c r="H35" s="78" t="s">
        <v>344</v>
      </c>
      <c r="I35" s="78" t="s">
        <v>347</v>
      </c>
      <c r="J35" s="79"/>
      <c r="K35" s="79">
        <v>25000000</v>
      </c>
    </row>
    <row r="36" spans="1:11" ht="12.75">
      <c r="A36" s="73" t="str">
        <f t="shared" si="0"/>
        <v>08/10/2020</v>
      </c>
      <c r="B36" s="74" t="s">
        <v>246</v>
      </c>
      <c r="C36" s="75"/>
      <c r="D36" s="75"/>
      <c r="E36" s="75" t="s">
        <v>639</v>
      </c>
      <c r="F36" s="76" t="s">
        <v>904</v>
      </c>
      <c r="G36" s="74" t="s">
        <v>972</v>
      </c>
      <c r="H36" s="78" t="s">
        <v>344</v>
      </c>
      <c r="I36" s="78" t="s">
        <v>97</v>
      </c>
      <c r="J36" s="79"/>
      <c r="K36" s="79">
        <v>12000000</v>
      </c>
    </row>
    <row r="37" spans="1:11" ht="12.75">
      <c r="A37" s="73" t="str">
        <f t="shared" si="0"/>
        <v>08/10/2020</v>
      </c>
      <c r="B37" s="74" t="s">
        <v>247</v>
      </c>
      <c r="C37" s="75"/>
      <c r="D37" s="75"/>
      <c r="E37" s="75" t="s">
        <v>639</v>
      </c>
      <c r="F37" s="76" t="s">
        <v>904</v>
      </c>
      <c r="G37" s="74" t="s">
        <v>973</v>
      </c>
      <c r="H37" s="78" t="s">
        <v>344</v>
      </c>
      <c r="I37" s="78" t="s">
        <v>194</v>
      </c>
      <c r="J37" s="79"/>
      <c r="K37" s="79">
        <f>K36*0.1</f>
        <v>1200000</v>
      </c>
    </row>
    <row r="38" spans="1:11" ht="12.75">
      <c r="A38" s="73" t="str">
        <f t="shared" si="0"/>
        <v>09/10/2020</v>
      </c>
      <c r="B38" s="74" t="s">
        <v>248</v>
      </c>
      <c r="C38" s="75"/>
      <c r="D38" s="75"/>
      <c r="E38" s="75"/>
      <c r="F38" s="76" t="s">
        <v>914</v>
      </c>
      <c r="G38" s="74" t="s">
        <v>967</v>
      </c>
      <c r="H38" s="78" t="s">
        <v>344</v>
      </c>
      <c r="I38" s="78" t="s">
        <v>394</v>
      </c>
      <c r="J38" s="79"/>
      <c r="K38" s="79">
        <v>1000000</v>
      </c>
    </row>
    <row r="39" spans="1:11" ht="12.75">
      <c r="A39" s="73" t="str">
        <f t="shared" si="0"/>
        <v>09/10/2020</v>
      </c>
      <c r="B39" s="74" t="s">
        <v>249</v>
      </c>
      <c r="C39" s="75"/>
      <c r="D39" s="75"/>
      <c r="E39" s="75"/>
      <c r="F39" s="76" t="s">
        <v>914</v>
      </c>
      <c r="G39" s="74" t="s">
        <v>974</v>
      </c>
      <c r="H39" s="78" t="s">
        <v>344</v>
      </c>
      <c r="I39" s="78" t="s">
        <v>390</v>
      </c>
      <c r="J39" s="79"/>
      <c r="K39" s="79">
        <v>150000</v>
      </c>
    </row>
    <row r="40" spans="1:11" ht="12.75">
      <c r="A40" s="73" t="str">
        <f t="shared" si="0"/>
        <v>09/10/2020</v>
      </c>
      <c r="B40" s="74" t="s">
        <v>250</v>
      </c>
      <c r="C40" s="75"/>
      <c r="D40" s="75"/>
      <c r="E40" s="75"/>
      <c r="F40" s="76" t="s">
        <v>914</v>
      </c>
      <c r="G40" s="74" t="s">
        <v>975</v>
      </c>
      <c r="H40" s="78" t="s">
        <v>344</v>
      </c>
      <c r="I40" s="78" t="s">
        <v>394</v>
      </c>
      <c r="J40" s="79"/>
      <c r="K40" s="79">
        <v>80000</v>
      </c>
    </row>
    <row r="41" spans="1:11" ht="12.75">
      <c r="A41" s="73" t="str">
        <f t="shared" si="0"/>
        <v>10/10/2020</v>
      </c>
      <c r="B41" s="74" t="s">
        <v>251</v>
      </c>
      <c r="C41" s="75"/>
      <c r="D41" s="74" t="s">
        <v>512</v>
      </c>
      <c r="E41" s="74" t="s">
        <v>640</v>
      </c>
      <c r="F41" s="76" t="s">
        <v>915</v>
      </c>
      <c r="G41" s="77" t="s">
        <v>970</v>
      </c>
      <c r="H41" s="78" t="s">
        <v>344</v>
      </c>
      <c r="I41" s="78" t="s">
        <v>347</v>
      </c>
      <c r="J41" s="79"/>
      <c r="K41" s="79">
        <v>15000000</v>
      </c>
    </row>
    <row r="42" spans="1:11" ht="12.75">
      <c r="A42" s="73" t="str">
        <f t="shared" si="0"/>
        <v>12/10/2020</v>
      </c>
      <c r="B42" s="74" t="s">
        <v>252</v>
      </c>
      <c r="C42" s="75"/>
      <c r="D42" s="75"/>
      <c r="E42" s="75"/>
      <c r="F42" s="76" t="s">
        <v>916</v>
      </c>
      <c r="G42" s="74" t="s">
        <v>976</v>
      </c>
      <c r="H42" s="78" t="s">
        <v>213</v>
      </c>
      <c r="I42" s="78" t="s">
        <v>344</v>
      </c>
      <c r="J42" s="79"/>
      <c r="K42" s="79">
        <v>500000</v>
      </c>
    </row>
    <row r="43" spans="1:11" ht="12.75">
      <c r="A43" s="73" t="str">
        <f t="shared" si="0"/>
        <v>12/10/2015</v>
      </c>
      <c r="B43" s="74" t="s">
        <v>253</v>
      </c>
      <c r="C43" s="75"/>
      <c r="D43" s="75"/>
      <c r="E43" s="75" t="s">
        <v>641</v>
      </c>
      <c r="F43" s="76" t="s">
        <v>727</v>
      </c>
      <c r="G43" s="74" t="s">
        <v>977</v>
      </c>
      <c r="H43" s="78" t="s">
        <v>94</v>
      </c>
      <c r="I43" s="78" t="s">
        <v>344</v>
      </c>
      <c r="J43" s="79"/>
      <c r="K43" s="79">
        <v>500000</v>
      </c>
    </row>
    <row r="44" spans="1:11" ht="12.75">
      <c r="A44" s="73" t="str">
        <f t="shared" si="0"/>
        <v>12/10/2020</v>
      </c>
      <c r="B44" s="74" t="s">
        <v>253</v>
      </c>
      <c r="C44" s="75"/>
      <c r="D44" s="75"/>
      <c r="E44" s="75" t="s">
        <v>641</v>
      </c>
      <c r="F44" s="76" t="s">
        <v>916</v>
      </c>
      <c r="G44" s="74" t="s">
        <v>951</v>
      </c>
      <c r="H44" s="78" t="s">
        <v>375</v>
      </c>
      <c r="I44" s="78" t="s">
        <v>344</v>
      </c>
      <c r="J44" s="79"/>
      <c r="K44" s="79">
        <f>K43*0.1</f>
        <v>50000</v>
      </c>
    </row>
    <row r="45" spans="1:11" ht="12.75">
      <c r="A45" s="73" t="str">
        <f t="shared" si="0"/>
        <v>12/10/2020</v>
      </c>
      <c r="B45" s="74" t="s">
        <v>254</v>
      </c>
      <c r="C45" s="75"/>
      <c r="D45" s="74" t="s">
        <v>513</v>
      </c>
      <c r="E45" s="74" t="s">
        <v>690</v>
      </c>
      <c r="F45" s="76" t="s">
        <v>916</v>
      </c>
      <c r="G45" s="74" t="s">
        <v>978</v>
      </c>
      <c r="H45" s="78" t="s">
        <v>347</v>
      </c>
      <c r="I45" s="78" t="s">
        <v>344</v>
      </c>
      <c r="J45" s="79"/>
      <c r="K45" s="79">
        <v>40000000</v>
      </c>
    </row>
    <row r="46" spans="1:11" ht="12.75">
      <c r="A46" s="73" t="str">
        <f t="shared" si="0"/>
        <v>12/10/2020</v>
      </c>
      <c r="B46" s="74"/>
      <c r="C46" s="74" t="s">
        <v>255</v>
      </c>
      <c r="D46" s="74"/>
      <c r="E46" s="75"/>
      <c r="F46" s="76" t="s">
        <v>916</v>
      </c>
      <c r="G46" s="74" t="s">
        <v>979</v>
      </c>
      <c r="H46" s="78" t="s">
        <v>29</v>
      </c>
      <c r="I46" s="78" t="s">
        <v>397</v>
      </c>
      <c r="J46" s="79">
        <v>300</v>
      </c>
      <c r="K46" s="79">
        <f>J46*7500</f>
        <v>2250000</v>
      </c>
    </row>
    <row r="47" spans="1:11" ht="12.75">
      <c r="A47" s="73" t="str">
        <f t="shared" si="0"/>
        <v>12/10/2020</v>
      </c>
      <c r="B47" s="74" t="s">
        <v>256</v>
      </c>
      <c r="C47" s="75"/>
      <c r="D47" s="75"/>
      <c r="E47" s="75"/>
      <c r="F47" s="76" t="s">
        <v>916</v>
      </c>
      <c r="G47" s="74" t="s">
        <v>980</v>
      </c>
      <c r="H47" s="78" t="s">
        <v>750</v>
      </c>
      <c r="I47" s="78" t="s">
        <v>344</v>
      </c>
      <c r="J47" s="79"/>
      <c r="K47" s="79">
        <v>35000000</v>
      </c>
    </row>
    <row r="48" spans="1:11" ht="12.75">
      <c r="A48" s="73" t="str">
        <f t="shared" si="0"/>
        <v>12/10/2020</v>
      </c>
      <c r="B48" s="74" t="s">
        <v>257</v>
      </c>
      <c r="C48" s="74" t="s">
        <v>258</v>
      </c>
      <c r="D48" s="74" t="s">
        <v>514</v>
      </c>
      <c r="E48" s="75" t="s">
        <v>642</v>
      </c>
      <c r="F48" s="76" t="s">
        <v>916</v>
      </c>
      <c r="G48" s="74" t="s">
        <v>981</v>
      </c>
      <c r="H48" s="78" t="s">
        <v>397</v>
      </c>
      <c r="I48" s="78" t="s">
        <v>344</v>
      </c>
      <c r="J48" s="79"/>
      <c r="K48" s="79">
        <v>100000</v>
      </c>
    </row>
    <row r="49" spans="1:11" ht="12.75">
      <c r="A49" s="73" t="str">
        <f t="shared" si="0"/>
        <v>12/10/2020</v>
      </c>
      <c r="B49" s="74" t="s">
        <v>257</v>
      </c>
      <c r="C49" s="74"/>
      <c r="D49" s="74" t="s">
        <v>514</v>
      </c>
      <c r="E49" s="75" t="s">
        <v>642</v>
      </c>
      <c r="F49" s="76" t="s">
        <v>916</v>
      </c>
      <c r="G49" s="74" t="s">
        <v>951</v>
      </c>
      <c r="H49" s="78" t="s">
        <v>375</v>
      </c>
      <c r="I49" s="78" t="s">
        <v>344</v>
      </c>
      <c r="J49" s="79"/>
      <c r="K49" s="79">
        <f>K48*0.1</f>
        <v>10000</v>
      </c>
    </row>
    <row r="50" spans="1:11" ht="12.75">
      <c r="A50" s="73" t="str">
        <f t="shared" si="0"/>
        <v>12/10/2020</v>
      </c>
      <c r="B50" s="74" t="s">
        <v>259</v>
      </c>
      <c r="C50" s="75"/>
      <c r="D50" s="74" t="s">
        <v>515</v>
      </c>
      <c r="E50" s="75" t="s">
        <v>643</v>
      </c>
      <c r="F50" s="76" t="s">
        <v>916</v>
      </c>
      <c r="G50" s="74" t="s">
        <v>982</v>
      </c>
      <c r="H50" s="78" t="s">
        <v>94</v>
      </c>
      <c r="I50" s="78" t="s">
        <v>344</v>
      </c>
      <c r="J50" s="79"/>
      <c r="K50" s="79">
        <v>2000000</v>
      </c>
    </row>
    <row r="51" spans="1:11" ht="12.75">
      <c r="A51" s="73" t="str">
        <f t="shared" si="0"/>
        <v>12/10/2020</v>
      </c>
      <c r="B51" s="74" t="s">
        <v>259</v>
      </c>
      <c r="C51" s="75"/>
      <c r="D51" s="74" t="s">
        <v>515</v>
      </c>
      <c r="E51" s="75" t="s">
        <v>643</v>
      </c>
      <c r="F51" s="76" t="s">
        <v>916</v>
      </c>
      <c r="G51" s="74" t="s">
        <v>951</v>
      </c>
      <c r="H51" s="78" t="s">
        <v>375</v>
      </c>
      <c r="I51" s="78" t="s">
        <v>344</v>
      </c>
      <c r="J51" s="79"/>
      <c r="K51" s="79">
        <f>K50*0.1</f>
        <v>200000</v>
      </c>
    </row>
    <row r="52" spans="1:11" ht="12.75">
      <c r="A52" s="73" t="str">
        <f t="shared" si="0"/>
        <v>12/10/2020</v>
      </c>
      <c r="B52" s="74" t="s">
        <v>260</v>
      </c>
      <c r="C52" s="75"/>
      <c r="D52" s="75"/>
      <c r="E52" s="75" t="s">
        <v>644</v>
      </c>
      <c r="F52" s="76" t="s">
        <v>916</v>
      </c>
      <c r="G52" s="74" t="s">
        <v>983</v>
      </c>
      <c r="H52" s="78" t="s">
        <v>50</v>
      </c>
      <c r="I52" s="78" t="s">
        <v>344</v>
      </c>
      <c r="J52" s="79"/>
      <c r="K52" s="79">
        <v>1200000</v>
      </c>
    </row>
    <row r="53" spans="1:11" ht="12.75">
      <c r="A53" s="73" t="str">
        <f t="shared" si="0"/>
        <v>12/10/2020</v>
      </c>
      <c r="B53" s="74" t="s">
        <v>260</v>
      </c>
      <c r="C53" s="75"/>
      <c r="D53" s="75"/>
      <c r="E53" s="75" t="s">
        <v>644</v>
      </c>
      <c r="F53" s="76" t="s">
        <v>916</v>
      </c>
      <c r="G53" s="74" t="s">
        <v>951</v>
      </c>
      <c r="H53" s="78" t="s">
        <v>375</v>
      </c>
      <c r="I53" s="78" t="s">
        <v>344</v>
      </c>
      <c r="J53" s="79"/>
      <c r="K53" s="79">
        <f>K52*0.1</f>
        <v>120000</v>
      </c>
    </row>
    <row r="54" spans="1:11" ht="12.75">
      <c r="A54" s="73" t="str">
        <f t="shared" si="0"/>
        <v>14/10/2020</v>
      </c>
      <c r="B54" s="74" t="s">
        <v>261</v>
      </c>
      <c r="C54" s="75"/>
      <c r="D54" s="75"/>
      <c r="E54" s="75"/>
      <c r="F54" s="76" t="s">
        <v>917</v>
      </c>
      <c r="G54" s="74" t="s">
        <v>984</v>
      </c>
      <c r="H54" s="78" t="s">
        <v>394</v>
      </c>
      <c r="I54" s="78" t="s">
        <v>344</v>
      </c>
      <c r="J54" s="79"/>
      <c r="K54" s="79">
        <v>2000000</v>
      </c>
    </row>
    <row r="55" spans="1:11" ht="12.75">
      <c r="A55" s="73" t="str">
        <f t="shared" si="0"/>
        <v>14/10/2020</v>
      </c>
      <c r="B55" s="74" t="s">
        <v>262</v>
      </c>
      <c r="C55" s="75"/>
      <c r="D55" s="75"/>
      <c r="E55" s="75" t="s">
        <v>645</v>
      </c>
      <c r="F55" s="76" t="s">
        <v>917</v>
      </c>
      <c r="G55" s="74" t="s">
        <v>985</v>
      </c>
      <c r="H55" s="78" t="s">
        <v>408</v>
      </c>
      <c r="I55" s="80" t="s">
        <v>344</v>
      </c>
      <c r="J55" s="79"/>
      <c r="K55" s="79">
        <v>35000000</v>
      </c>
    </row>
    <row r="56" spans="1:11" ht="12.75">
      <c r="A56" s="73" t="str">
        <f t="shared" si="0"/>
        <v>14/10/2020</v>
      </c>
      <c r="B56" s="74" t="s">
        <v>262</v>
      </c>
      <c r="C56" s="75"/>
      <c r="D56" s="75"/>
      <c r="E56" s="75" t="s">
        <v>645</v>
      </c>
      <c r="F56" s="76" t="s">
        <v>917</v>
      </c>
      <c r="G56" s="74" t="s">
        <v>951</v>
      </c>
      <c r="H56" s="78" t="s">
        <v>377</v>
      </c>
      <c r="I56" s="80" t="s">
        <v>344</v>
      </c>
      <c r="J56" s="79"/>
      <c r="K56" s="79">
        <f>K55*0.1</f>
        <v>3500000</v>
      </c>
    </row>
    <row r="57" spans="1:11" ht="12.75">
      <c r="A57" s="73" t="str">
        <f t="shared" si="0"/>
        <v>14/10/2020</v>
      </c>
      <c r="B57" s="74" t="s">
        <v>263</v>
      </c>
      <c r="C57" s="75"/>
      <c r="D57" s="75"/>
      <c r="E57" s="75"/>
      <c r="F57" s="76" t="s">
        <v>917</v>
      </c>
      <c r="G57" s="74" t="s">
        <v>986</v>
      </c>
      <c r="H57" s="78" t="s">
        <v>356</v>
      </c>
      <c r="I57" s="78" t="s">
        <v>344</v>
      </c>
      <c r="J57" s="79"/>
      <c r="K57" s="79">
        <v>30000000</v>
      </c>
    </row>
    <row r="58" spans="1:11" ht="12.75">
      <c r="A58" s="73" t="str">
        <f t="shared" si="0"/>
        <v>14/10/2020</v>
      </c>
      <c r="B58" s="74" t="s">
        <v>264</v>
      </c>
      <c r="C58" s="75"/>
      <c r="D58" s="75"/>
      <c r="E58" s="75"/>
      <c r="F58" s="76" t="s">
        <v>917</v>
      </c>
      <c r="G58" s="74" t="s">
        <v>987</v>
      </c>
      <c r="H58" s="78" t="s">
        <v>412</v>
      </c>
      <c r="I58" s="78" t="s">
        <v>344</v>
      </c>
      <c r="J58" s="79"/>
      <c r="K58" s="79">
        <v>40000000</v>
      </c>
    </row>
    <row r="59" spans="1:11" ht="12.75">
      <c r="A59" s="73" t="str">
        <f t="shared" si="0"/>
        <v>15/10/2020</v>
      </c>
      <c r="B59" s="74" t="s">
        <v>265</v>
      </c>
      <c r="C59" s="75"/>
      <c r="D59" s="75"/>
      <c r="E59" s="75"/>
      <c r="F59" s="76" t="s">
        <v>918</v>
      </c>
      <c r="G59" s="74" t="s">
        <v>962</v>
      </c>
      <c r="H59" s="78" t="s">
        <v>394</v>
      </c>
      <c r="I59" s="78" t="s">
        <v>344</v>
      </c>
      <c r="J59" s="79"/>
      <c r="K59" s="79">
        <v>400000</v>
      </c>
    </row>
    <row r="60" spans="1:11" ht="12.75">
      <c r="A60" s="73" t="str">
        <f t="shared" si="0"/>
        <v>15/10/2020</v>
      </c>
      <c r="B60" s="74" t="s">
        <v>266</v>
      </c>
      <c r="C60" s="75"/>
      <c r="D60" s="75"/>
      <c r="E60" s="75"/>
      <c r="F60" s="76" t="s">
        <v>918</v>
      </c>
      <c r="G60" s="74" t="s">
        <v>988</v>
      </c>
      <c r="H60" s="78" t="s">
        <v>205</v>
      </c>
      <c r="I60" s="78" t="s">
        <v>344</v>
      </c>
      <c r="J60" s="79"/>
      <c r="K60" s="79">
        <v>1500000</v>
      </c>
    </row>
    <row r="61" spans="1:11" ht="12.75">
      <c r="A61" s="73" t="str">
        <f t="shared" si="0"/>
        <v>15/10/2020</v>
      </c>
      <c r="B61" s="74" t="s">
        <v>267</v>
      </c>
      <c r="C61" s="75"/>
      <c r="D61" s="75"/>
      <c r="E61" s="75"/>
      <c r="F61" s="76" t="s">
        <v>918</v>
      </c>
      <c r="G61" s="74" t="s">
        <v>989</v>
      </c>
      <c r="H61" s="78" t="s">
        <v>442</v>
      </c>
      <c r="I61" s="78" t="s">
        <v>344</v>
      </c>
      <c r="J61" s="79"/>
      <c r="K61" s="79">
        <v>10000000</v>
      </c>
    </row>
    <row r="62" spans="1:11" ht="12.75">
      <c r="A62" s="73" t="str">
        <f t="shared" si="0"/>
        <v>15/10/2020</v>
      </c>
      <c r="B62" s="74" t="s">
        <v>268</v>
      </c>
      <c r="C62" s="74" t="s">
        <v>269</v>
      </c>
      <c r="D62" s="74" t="s">
        <v>516</v>
      </c>
      <c r="E62" s="75" t="s">
        <v>646</v>
      </c>
      <c r="F62" s="76" t="s">
        <v>918</v>
      </c>
      <c r="G62" s="74" t="s">
        <v>990</v>
      </c>
      <c r="H62" s="78" t="s">
        <v>733</v>
      </c>
      <c r="I62" s="78" t="s">
        <v>344</v>
      </c>
      <c r="J62" s="79">
        <v>62</v>
      </c>
      <c r="K62" s="79">
        <f>J62*247000</f>
        <v>15314000</v>
      </c>
    </row>
    <row r="63" spans="1:11" ht="12.75">
      <c r="A63" s="73" t="str">
        <f t="shared" si="0"/>
        <v>15/10/2020</v>
      </c>
      <c r="B63" s="74" t="s">
        <v>268</v>
      </c>
      <c r="C63" s="74"/>
      <c r="D63" s="74" t="s">
        <v>516</v>
      </c>
      <c r="E63" s="75" t="s">
        <v>646</v>
      </c>
      <c r="F63" s="76" t="s">
        <v>918</v>
      </c>
      <c r="G63" s="74" t="s">
        <v>951</v>
      </c>
      <c r="H63" s="78" t="s">
        <v>375</v>
      </c>
      <c r="I63" s="78" t="s">
        <v>344</v>
      </c>
      <c r="J63" s="79"/>
      <c r="K63" s="79">
        <v>1531400</v>
      </c>
    </row>
    <row r="64" spans="1:11" ht="12.75">
      <c r="A64" s="73" t="str">
        <f t="shared" si="0"/>
        <v>16/10/2020</v>
      </c>
      <c r="B64" s="74"/>
      <c r="C64" s="74" t="s">
        <v>270</v>
      </c>
      <c r="D64" s="74" t="s">
        <v>517</v>
      </c>
      <c r="E64" s="75" t="s">
        <v>647</v>
      </c>
      <c r="F64" s="76" t="s">
        <v>919</v>
      </c>
      <c r="G64" s="74" t="s">
        <v>991</v>
      </c>
      <c r="H64" s="78" t="s">
        <v>397</v>
      </c>
      <c r="I64" s="78" t="s">
        <v>433</v>
      </c>
      <c r="J64" s="79">
        <v>10000</v>
      </c>
      <c r="K64" s="79">
        <f>1000*10500</f>
        <v>10500000</v>
      </c>
    </row>
    <row r="65" spans="1:11" ht="12.75">
      <c r="A65" s="73" t="str">
        <f t="shared" si="0"/>
        <v>16/10/2020</v>
      </c>
      <c r="B65" s="74"/>
      <c r="C65" s="74"/>
      <c r="D65" s="74" t="s">
        <v>517</v>
      </c>
      <c r="E65" s="75" t="s">
        <v>647</v>
      </c>
      <c r="F65" s="76" t="s">
        <v>919</v>
      </c>
      <c r="G65" s="74" t="s">
        <v>951</v>
      </c>
      <c r="H65" s="78" t="s">
        <v>375</v>
      </c>
      <c r="I65" s="78" t="s">
        <v>433</v>
      </c>
      <c r="J65" s="79"/>
      <c r="K65" s="79">
        <v>1050000</v>
      </c>
    </row>
    <row r="66" spans="1:11" ht="12.75">
      <c r="A66" s="73" t="str">
        <f t="shared" si="0"/>
        <v>16/10/2020</v>
      </c>
      <c r="B66" s="74"/>
      <c r="C66" s="74" t="s">
        <v>271</v>
      </c>
      <c r="D66" s="74" t="s">
        <v>518</v>
      </c>
      <c r="E66" s="75" t="s">
        <v>648</v>
      </c>
      <c r="F66" s="76" t="s">
        <v>919</v>
      </c>
      <c r="G66" s="74" t="s">
        <v>992</v>
      </c>
      <c r="H66" s="80" t="s">
        <v>396</v>
      </c>
      <c r="I66" s="78" t="s">
        <v>431</v>
      </c>
      <c r="J66" s="79">
        <v>9286</v>
      </c>
      <c r="K66" s="79">
        <f>9286*19000</f>
        <v>176434000</v>
      </c>
    </row>
    <row r="67" spans="1:11" ht="12.75">
      <c r="A67" s="73" t="str">
        <f t="shared" si="0"/>
        <v>16/10/2020</v>
      </c>
      <c r="B67" s="74"/>
      <c r="C67" s="74"/>
      <c r="D67" s="74" t="s">
        <v>518</v>
      </c>
      <c r="E67" s="75" t="s">
        <v>648</v>
      </c>
      <c r="F67" s="76" t="s">
        <v>919</v>
      </c>
      <c r="G67" s="74" t="s">
        <v>951</v>
      </c>
      <c r="H67" s="78" t="s">
        <v>375</v>
      </c>
      <c r="I67" s="78" t="s">
        <v>431</v>
      </c>
      <c r="J67" s="79"/>
      <c r="K67" s="79">
        <v>17643400</v>
      </c>
    </row>
    <row r="68" spans="1:11" ht="12.75">
      <c r="A68" s="73" t="str">
        <f t="shared" si="0"/>
        <v>17/10/2020</v>
      </c>
      <c r="B68" s="74"/>
      <c r="C68" s="74" t="s">
        <v>272</v>
      </c>
      <c r="D68" s="74" t="s">
        <v>519</v>
      </c>
      <c r="E68" s="75" t="s">
        <v>649</v>
      </c>
      <c r="F68" s="76" t="s">
        <v>920</v>
      </c>
      <c r="G68" s="74" t="s">
        <v>993</v>
      </c>
      <c r="H68" s="80" t="s">
        <v>399</v>
      </c>
      <c r="I68" s="78" t="s">
        <v>432</v>
      </c>
      <c r="J68" s="79">
        <v>300</v>
      </c>
      <c r="K68" s="79">
        <f>300*16500</f>
        <v>4950000</v>
      </c>
    </row>
    <row r="69" spans="1:11" ht="12.75">
      <c r="A69" s="73" t="str">
        <f t="shared" si="0"/>
        <v>17/10/2020</v>
      </c>
      <c r="B69" s="74"/>
      <c r="C69" s="74"/>
      <c r="D69" s="74" t="s">
        <v>519</v>
      </c>
      <c r="E69" s="75" t="s">
        <v>649</v>
      </c>
      <c r="F69" s="76" t="s">
        <v>920</v>
      </c>
      <c r="G69" s="74" t="s">
        <v>951</v>
      </c>
      <c r="H69" s="78" t="s">
        <v>375</v>
      </c>
      <c r="I69" s="78" t="s">
        <v>432</v>
      </c>
      <c r="J69" s="79"/>
      <c r="K69" s="79">
        <v>495000</v>
      </c>
    </row>
    <row r="70" spans="1:11" ht="12.75">
      <c r="A70" s="73" t="str">
        <f t="shared" si="0"/>
        <v>17/10/2020</v>
      </c>
      <c r="B70" s="74"/>
      <c r="C70" s="74" t="s">
        <v>273</v>
      </c>
      <c r="D70" s="74" t="s">
        <v>520</v>
      </c>
      <c r="E70" s="75" t="s">
        <v>650</v>
      </c>
      <c r="F70" s="76" t="s">
        <v>920</v>
      </c>
      <c r="G70" s="74" t="s">
        <v>991</v>
      </c>
      <c r="H70" s="78" t="s">
        <v>397</v>
      </c>
      <c r="I70" s="78" t="s">
        <v>443</v>
      </c>
      <c r="J70" s="79">
        <v>11000</v>
      </c>
      <c r="K70" s="79">
        <f>11000*11000</f>
        <v>121000000</v>
      </c>
    </row>
    <row r="71" spans="1:11" ht="12.75">
      <c r="A71" s="73" t="str">
        <f aca="true" t="shared" si="1" ref="A71:A134">F71</f>
        <v>17/10/2020</v>
      </c>
      <c r="B71" s="74"/>
      <c r="C71" s="74"/>
      <c r="D71" s="74" t="s">
        <v>520</v>
      </c>
      <c r="E71" s="75" t="s">
        <v>650</v>
      </c>
      <c r="F71" s="76" t="s">
        <v>920</v>
      </c>
      <c r="G71" s="74" t="s">
        <v>951</v>
      </c>
      <c r="H71" s="78" t="s">
        <v>375</v>
      </c>
      <c r="I71" s="78" t="s">
        <v>443</v>
      </c>
      <c r="J71" s="79"/>
      <c r="K71" s="79">
        <v>12100000</v>
      </c>
    </row>
    <row r="72" spans="1:11" ht="12.75">
      <c r="A72" s="73" t="str">
        <f t="shared" si="1"/>
        <v>17/10/2020</v>
      </c>
      <c r="B72" s="74"/>
      <c r="C72" s="74" t="s">
        <v>274</v>
      </c>
      <c r="D72" s="74" t="s">
        <v>521</v>
      </c>
      <c r="E72" s="75" t="s">
        <v>651</v>
      </c>
      <c r="F72" s="76" t="s">
        <v>920</v>
      </c>
      <c r="G72" s="74" t="s">
        <v>994</v>
      </c>
      <c r="H72" s="80" t="s">
        <v>400</v>
      </c>
      <c r="I72" s="78" t="s">
        <v>439</v>
      </c>
      <c r="J72" s="79">
        <v>1267</v>
      </c>
      <c r="K72" s="79">
        <f>1267*2200</f>
        <v>2787400</v>
      </c>
    </row>
    <row r="73" spans="1:11" ht="12.75">
      <c r="A73" s="73" t="str">
        <f t="shared" si="1"/>
        <v>17/10/2020</v>
      </c>
      <c r="B73" s="74"/>
      <c r="C73" s="74"/>
      <c r="D73" s="74" t="s">
        <v>521</v>
      </c>
      <c r="E73" s="75" t="s">
        <v>651</v>
      </c>
      <c r="F73" s="76" t="s">
        <v>920</v>
      </c>
      <c r="G73" s="74" t="s">
        <v>951</v>
      </c>
      <c r="H73" s="78" t="s">
        <v>375</v>
      </c>
      <c r="I73" s="78" t="s">
        <v>439</v>
      </c>
      <c r="J73" s="79"/>
      <c r="K73" s="79">
        <v>278740</v>
      </c>
    </row>
    <row r="74" spans="1:11" ht="12.75">
      <c r="A74" s="73" t="str">
        <f t="shared" si="1"/>
        <v>18/10/2020</v>
      </c>
      <c r="B74" s="74"/>
      <c r="C74" s="74" t="s">
        <v>275</v>
      </c>
      <c r="D74" s="74" t="s">
        <v>522</v>
      </c>
      <c r="E74" s="75" t="s">
        <v>652</v>
      </c>
      <c r="F74" s="76" t="s">
        <v>921</v>
      </c>
      <c r="G74" s="74" t="s">
        <v>994</v>
      </c>
      <c r="H74" s="80" t="s">
        <v>400</v>
      </c>
      <c r="I74" s="78" t="s">
        <v>434</v>
      </c>
      <c r="J74" s="79">
        <v>40</v>
      </c>
      <c r="K74" s="79">
        <f>40*2230</f>
        <v>89200</v>
      </c>
    </row>
    <row r="75" spans="1:11" ht="12.75">
      <c r="A75" s="73" t="str">
        <f t="shared" si="1"/>
        <v>18/10/2020</v>
      </c>
      <c r="B75" s="74"/>
      <c r="C75" s="74"/>
      <c r="D75" s="74" t="s">
        <v>522</v>
      </c>
      <c r="E75" s="75" t="s">
        <v>652</v>
      </c>
      <c r="F75" s="76" t="s">
        <v>921</v>
      </c>
      <c r="G75" s="74" t="s">
        <v>951</v>
      </c>
      <c r="H75" s="78" t="s">
        <v>375</v>
      </c>
      <c r="I75" s="78" t="s">
        <v>434</v>
      </c>
      <c r="J75" s="79"/>
      <c r="K75" s="79">
        <v>8920</v>
      </c>
    </row>
    <row r="76" spans="1:11" ht="12.75">
      <c r="A76" s="73" t="str">
        <f t="shared" si="1"/>
        <v>18/10/2020</v>
      </c>
      <c r="B76" s="74"/>
      <c r="C76" s="74" t="s">
        <v>276</v>
      </c>
      <c r="D76" s="74" t="s">
        <v>523</v>
      </c>
      <c r="E76" s="75" t="s">
        <v>653</v>
      </c>
      <c r="F76" s="76" t="s">
        <v>921</v>
      </c>
      <c r="G76" s="74" t="s">
        <v>992</v>
      </c>
      <c r="H76" s="80" t="s">
        <v>396</v>
      </c>
      <c r="I76" s="78" t="s">
        <v>440</v>
      </c>
      <c r="J76" s="79">
        <v>11190</v>
      </c>
      <c r="K76" s="79">
        <f>11190*19100</f>
        <v>213729000</v>
      </c>
    </row>
    <row r="77" spans="1:11" ht="12.75">
      <c r="A77" s="73" t="str">
        <f t="shared" si="1"/>
        <v>18/10/2020</v>
      </c>
      <c r="B77" s="74"/>
      <c r="C77" s="74"/>
      <c r="D77" s="74" t="s">
        <v>523</v>
      </c>
      <c r="E77" s="75" t="s">
        <v>653</v>
      </c>
      <c r="F77" s="76" t="s">
        <v>921</v>
      </c>
      <c r="G77" s="74" t="s">
        <v>951</v>
      </c>
      <c r="H77" s="78" t="s">
        <v>375</v>
      </c>
      <c r="I77" s="78" t="s">
        <v>440</v>
      </c>
      <c r="J77" s="79"/>
      <c r="K77" s="79">
        <v>21372900</v>
      </c>
    </row>
    <row r="78" spans="1:11" ht="12.75">
      <c r="A78" s="73" t="str">
        <f t="shared" si="1"/>
        <v>19/10/2020</v>
      </c>
      <c r="B78" s="74"/>
      <c r="C78" s="74" t="s">
        <v>277</v>
      </c>
      <c r="D78" s="74" t="s">
        <v>524</v>
      </c>
      <c r="E78" s="75" t="s">
        <v>654</v>
      </c>
      <c r="F78" s="76" t="s">
        <v>922</v>
      </c>
      <c r="G78" s="74" t="s">
        <v>990</v>
      </c>
      <c r="H78" s="78" t="s">
        <v>733</v>
      </c>
      <c r="I78" s="78" t="s">
        <v>436</v>
      </c>
      <c r="J78" s="79">
        <v>210</v>
      </c>
      <c r="K78" s="79">
        <f>J78*247000</f>
        <v>51870000</v>
      </c>
    </row>
    <row r="79" spans="1:11" ht="12.75">
      <c r="A79" s="73" t="str">
        <f t="shared" si="1"/>
        <v>19/10/2020</v>
      </c>
      <c r="B79" s="74"/>
      <c r="C79" s="74"/>
      <c r="D79" s="74" t="s">
        <v>524</v>
      </c>
      <c r="E79" s="75" t="s">
        <v>654</v>
      </c>
      <c r="F79" s="76" t="s">
        <v>922</v>
      </c>
      <c r="G79" s="74" t="s">
        <v>951</v>
      </c>
      <c r="H79" s="78" t="s">
        <v>375</v>
      </c>
      <c r="I79" s="78" t="s">
        <v>436</v>
      </c>
      <c r="J79" s="79"/>
      <c r="K79" s="79">
        <f>K78*0.1</f>
        <v>5187000</v>
      </c>
    </row>
    <row r="80" spans="1:11" ht="12.75">
      <c r="A80" s="73" t="str">
        <f t="shared" si="1"/>
        <v>19/10/2020</v>
      </c>
      <c r="B80" s="74"/>
      <c r="C80" s="74" t="s">
        <v>278</v>
      </c>
      <c r="D80" s="74" t="s">
        <v>525</v>
      </c>
      <c r="E80" s="75" t="s">
        <v>655</v>
      </c>
      <c r="F80" s="76" t="s">
        <v>922</v>
      </c>
      <c r="G80" s="74" t="s">
        <v>991</v>
      </c>
      <c r="H80" s="78" t="s">
        <v>397</v>
      </c>
      <c r="I80" s="78" t="s">
        <v>438</v>
      </c>
      <c r="J80" s="79">
        <v>20000</v>
      </c>
      <c r="K80" s="79">
        <f>20000*11500</f>
        <v>230000000</v>
      </c>
    </row>
    <row r="81" spans="1:11" ht="12.75">
      <c r="A81" s="73" t="str">
        <f t="shared" si="1"/>
        <v>19/10/2020</v>
      </c>
      <c r="B81" s="74"/>
      <c r="C81" s="74"/>
      <c r="D81" s="74" t="s">
        <v>525</v>
      </c>
      <c r="E81" s="75" t="s">
        <v>655</v>
      </c>
      <c r="F81" s="76" t="s">
        <v>922</v>
      </c>
      <c r="G81" s="74" t="s">
        <v>951</v>
      </c>
      <c r="H81" s="78" t="s">
        <v>375</v>
      </c>
      <c r="I81" s="78" t="s">
        <v>438</v>
      </c>
      <c r="J81" s="79"/>
      <c r="K81" s="79">
        <v>23000000</v>
      </c>
    </row>
    <row r="82" spans="1:11" ht="12.75">
      <c r="A82" s="73" t="str">
        <f t="shared" si="1"/>
        <v>20/10/2020</v>
      </c>
      <c r="B82" s="74"/>
      <c r="C82" s="74" t="s">
        <v>279</v>
      </c>
      <c r="D82" s="74" t="s">
        <v>526</v>
      </c>
      <c r="E82" s="75" t="s">
        <v>656</v>
      </c>
      <c r="F82" s="76" t="s">
        <v>923</v>
      </c>
      <c r="G82" s="74" t="s">
        <v>993</v>
      </c>
      <c r="H82" s="80" t="s">
        <v>399</v>
      </c>
      <c r="I82" s="78" t="s">
        <v>437</v>
      </c>
      <c r="J82" s="79">
        <v>400</v>
      </c>
      <c r="K82" s="79">
        <f>400*16700</f>
        <v>6680000</v>
      </c>
    </row>
    <row r="83" spans="1:11" ht="12.75">
      <c r="A83" s="73" t="str">
        <f t="shared" si="1"/>
        <v>20/10/2020</v>
      </c>
      <c r="B83" s="74"/>
      <c r="C83" s="74"/>
      <c r="D83" s="74" t="s">
        <v>526</v>
      </c>
      <c r="E83" s="75" t="s">
        <v>656</v>
      </c>
      <c r="F83" s="76" t="s">
        <v>923</v>
      </c>
      <c r="G83" s="74" t="s">
        <v>951</v>
      </c>
      <c r="H83" s="78" t="s">
        <v>375</v>
      </c>
      <c r="I83" s="78" t="s">
        <v>437</v>
      </c>
      <c r="J83" s="79"/>
      <c r="K83" s="79">
        <v>668000</v>
      </c>
    </row>
    <row r="84" spans="1:11" ht="12.75">
      <c r="A84" s="73" t="str">
        <f t="shared" si="1"/>
        <v>20/10/2020</v>
      </c>
      <c r="B84" s="74"/>
      <c r="C84" s="74" t="s">
        <v>280</v>
      </c>
      <c r="D84" s="74" t="s">
        <v>527</v>
      </c>
      <c r="E84" s="75" t="s">
        <v>657</v>
      </c>
      <c r="F84" s="76" t="s">
        <v>923</v>
      </c>
      <c r="G84" s="74" t="s">
        <v>992</v>
      </c>
      <c r="H84" s="80" t="s">
        <v>396</v>
      </c>
      <c r="I84" s="78" t="s">
        <v>435</v>
      </c>
      <c r="J84" s="79">
        <v>400</v>
      </c>
      <c r="K84" s="79">
        <f>400*19300</f>
        <v>7720000</v>
      </c>
    </row>
    <row r="85" spans="1:11" ht="12.75">
      <c r="A85" s="73" t="str">
        <f t="shared" si="1"/>
        <v>20/10/2020</v>
      </c>
      <c r="B85" s="74"/>
      <c r="C85" s="74"/>
      <c r="D85" s="74" t="s">
        <v>527</v>
      </c>
      <c r="E85" s="75" t="s">
        <v>657</v>
      </c>
      <c r="F85" s="76" t="s">
        <v>923</v>
      </c>
      <c r="G85" s="74" t="s">
        <v>951</v>
      </c>
      <c r="H85" s="78" t="s">
        <v>375</v>
      </c>
      <c r="I85" s="78" t="s">
        <v>435</v>
      </c>
      <c r="J85" s="79"/>
      <c r="K85" s="79">
        <v>772000</v>
      </c>
    </row>
    <row r="86" spans="1:11" ht="12.75">
      <c r="A86" s="73" t="str">
        <f t="shared" si="1"/>
        <v>20/10/2020</v>
      </c>
      <c r="B86" s="75"/>
      <c r="C86" s="74" t="s">
        <v>281</v>
      </c>
      <c r="D86" s="74"/>
      <c r="E86" s="75"/>
      <c r="F86" s="76" t="s">
        <v>923</v>
      </c>
      <c r="G86" s="74" t="s">
        <v>995</v>
      </c>
      <c r="H86" s="78" t="s">
        <v>405</v>
      </c>
      <c r="I86" s="78" t="s">
        <v>402</v>
      </c>
      <c r="J86" s="79">
        <v>1000</v>
      </c>
      <c r="K86" s="79">
        <f>1000*390500</f>
        <v>390500000</v>
      </c>
    </row>
    <row r="87" spans="1:11" ht="12.75">
      <c r="A87" s="73" t="str">
        <f t="shared" si="1"/>
        <v>20/10/2020</v>
      </c>
      <c r="B87" s="75"/>
      <c r="C87" s="74" t="s">
        <v>282</v>
      </c>
      <c r="D87" s="74"/>
      <c r="E87" s="75"/>
      <c r="F87" s="76" t="s">
        <v>923</v>
      </c>
      <c r="G87" s="74" t="s">
        <v>996</v>
      </c>
      <c r="H87" s="78" t="s">
        <v>406</v>
      </c>
      <c r="I87" s="78" t="s">
        <v>403</v>
      </c>
      <c r="J87" s="79">
        <v>1000</v>
      </c>
      <c r="K87" s="79">
        <f>1000*317500</f>
        <v>317500000</v>
      </c>
    </row>
    <row r="88" spans="1:11" ht="12.75">
      <c r="A88" s="73" t="str">
        <f t="shared" si="1"/>
        <v>20/10/2020</v>
      </c>
      <c r="B88" s="74"/>
      <c r="C88" s="74" t="s">
        <v>283</v>
      </c>
      <c r="D88" s="74"/>
      <c r="E88" s="75"/>
      <c r="F88" s="76" t="s">
        <v>923</v>
      </c>
      <c r="G88" s="74" t="s">
        <v>997</v>
      </c>
      <c r="H88" s="78" t="s">
        <v>62</v>
      </c>
      <c r="I88" s="78" t="s">
        <v>405</v>
      </c>
      <c r="J88" s="79">
        <v>192</v>
      </c>
      <c r="K88" s="79">
        <f>192*392500</f>
        <v>75360000</v>
      </c>
    </row>
    <row r="89" spans="1:11" ht="12.75">
      <c r="A89" s="73" t="str">
        <f t="shared" si="1"/>
        <v>20/10/2020</v>
      </c>
      <c r="B89" s="74"/>
      <c r="C89" s="75"/>
      <c r="D89" s="74" t="s">
        <v>528</v>
      </c>
      <c r="E89" s="75" t="s">
        <v>657</v>
      </c>
      <c r="F89" s="76" t="s">
        <v>923</v>
      </c>
      <c r="G89" s="74" t="s">
        <v>998</v>
      </c>
      <c r="H89" s="78" t="s">
        <v>363</v>
      </c>
      <c r="I89" s="78" t="s">
        <v>15</v>
      </c>
      <c r="J89" s="79">
        <v>192</v>
      </c>
      <c r="K89" s="79">
        <f>J89*500000</f>
        <v>96000000</v>
      </c>
    </row>
    <row r="90" spans="1:11" ht="12.75">
      <c r="A90" s="73" t="str">
        <f t="shared" si="1"/>
        <v>20/10/2020</v>
      </c>
      <c r="B90" s="74"/>
      <c r="C90" s="75"/>
      <c r="D90" s="74" t="s">
        <v>528</v>
      </c>
      <c r="E90" s="75" t="s">
        <v>657</v>
      </c>
      <c r="F90" s="76" t="s">
        <v>923</v>
      </c>
      <c r="G90" s="74" t="s">
        <v>973</v>
      </c>
      <c r="H90" s="78" t="s">
        <v>363</v>
      </c>
      <c r="I90" s="78" t="s">
        <v>194</v>
      </c>
      <c r="J90" s="79"/>
      <c r="K90" s="79">
        <f>K89*0.1</f>
        <v>9600000</v>
      </c>
    </row>
    <row r="91" spans="1:11" ht="12.75">
      <c r="A91" s="73" t="str">
        <f t="shared" si="1"/>
        <v>21/10/2020</v>
      </c>
      <c r="B91" s="74"/>
      <c r="C91" s="74" t="s">
        <v>284</v>
      </c>
      <c r="D91" s="74"/>
      <c r="E91" s="75"/>
      <c r="F91" s="76" t="s">
        <v>924</v>
      </c>
      <c r="G91" s="74" t="s">
        <v>999</v>
      </c>
      <c r="H91" s="78" t="s">
        <v>62</v>
      </c>
      <c r="I91" s="78" t="s">
        <v>405</v>
      </c>
      <c r="J91" s="79">
        <v>224</v>
      </c>
      <c r="K91" s="79">
        <f>224*392500</f>
        <v>87920000</v>
      </c>
    </row>
    <row r="92" spans="1:11" ht="12.75">
      <c r="A92" s="73" t="str">
        <f t="shared" si="1"/>
        <v>21/10/2020</v>
      </c>
      <c r="B92" s="74"/>
      <c r="C92" s="75"/>
      <c r="D92" s="74" t="s">
        <v>529</v>
      </c>
      <c r="E92" s="75" t="s">
        <v>658</v>
      </c>
      <c r="F92" s="76" t="s">
        <v>924</v>
      </c>
      <c r="G92" s="74" t="s">
        <v>1000</v>
      </c>
      <c r="H92" s="78" t="s">
        <v>364</v>
      </c>
      <c r="I92" s="78" t="s">
        <v>15</v>
      </c>
      <c r="J92" s="79">
        <v>224</v>
      </c>
      <c r="K92" s="79">
        <f>J92*520000</f>
        <v>116480000</v>
      </c>
    </row>
    <row r="93" spans="1:11" ht="12.75">
      <c r="A93" s="73" t="str">
        <f t="shared" si="1"/>
        <v>21/10/2020</v>
      </c>
      <c r="B93" s="75"/>
      <c r="C93" s="75"/>
      <c r="D93" s="74" t="s">
        <v>529</v>
      </c>
      <c r="E93" s="75" t="s">
        <v>658</v>
      </c>
      <c r="F93" s="76" t="s">
        <v>924</v>
      </c>
      <c r="G93" s="74" t="s">
        <v>973</v>
      </c>
      <c r="H93" s="78" t="s">
        <v>364</v>
      </c>
      <c r="I93" s="78" t="s">
        <v>194</v>
      </c>
      <c r="J93" s="79"/>
      <c r="K93" s="79">
        <f>K92*0.1</f>
        <v>11648000</v>
      </c>
    </row>
    <row r="94" spans="1:11" ht="12.75">
      <c r="A94" s="73" t="str">
        <f t="shared" si="1"/>
        <v>22/10/2020</v>
      </c>
      <c r="B94" s="75"/>
      <c r="C94" s="74" t="s">
        <v>285</v>
      </c>
      <c r="D94" s="74"/>
      <c r="E94" s="75"/>
      <c r="F94" s="76" t="s">
        <v>925</v>
      </c>
      <c r="G94" s="74" t="s">
        <v>1001</v>
      </c>
      <c r="H94" s="78" t="s">
        <v>62</v>
      </c>
      <c r="I94" s="78" t="s">
        <v>406</v>
      </c>
      <c r="J94" s="79">
        <v>200</v>
      </c>
      <c r="K94" s="79">
        <f>200*317545</f>
        <v>63509000</v>
      </c>
    </row>
    <row r="95" spans="1:11" ht="12.75">
      <c r="A95" s="73" t="str">
        <f t="shared" si="1"/>
        <v>22/10/2020</v>
      </c>
      <c r="B95" s="75"/>
      <c r="C95" s="75"/>
      <c r="D95" s="74" t="s">
        <v>530</v>
      </c>
      <c r="E95" s="75" t="s">
        <v>659</v>
      </c>
      <c r="F95" s="76" t="s">
        <v>925</v>
      </c>
      <c r="G95" s="74" t="s">
        <v>1002</v>
      </c>
      <c r="H95" s="78" t="s">
        <v>374</v>
      </c>
      <c r="I95" s="78" t="s">
        <v>15</v>
      </c>
      <c r="J95" s="79">
        <v>200</v>
      </c>
      <c r="K95" s="79">
        <f>J95*390000</f>
        <v>78000000</v>
      </c>
    </row>
    <row r="96" spans="1:11" ht="12.75">
      <c r="A96" s="73" t="str">
        <f t="shared" si="1"/>
        <v>22/10/2020</v>
      </c>
      <c r="B96" s="75"/>
      <c r="C96" s="75"/>
      <c r="D96" s="74" t="s">
        <v>530</v>
      </c>
      <c r="E96" s="75" t="s">
        <v>659</v>
      </c>
      <c r="F96" s="76" t="s">
        <v>925</v>
      </c>
      <c r="G96" s="74" t="s">
        <v>973</v>
      </c>
      <c r="H96" s="78" t="s">
        <v>374</v>
      </c>
      <c r="I96" s="78" t="s">
        <v>194</v>
      </c>
      <c r="J96" s="79"/>
      <c r="K96" s="79">
        <f>K95*0.05</f>
        <v>3900000</v>
      </c>
    </row>
    <row r="97" spans="1:11" ht="12.75">
      <c r="A97" s="73" t="str">
        <f t="shared" si="1"/>
        <v>23/10/2020</v>
      </c>
      <c r="B97" s="75"/>
      <c r="C97" s="74" t="s">
        <v>286</v>
      </c>
      <c r="D97" s="74"/>
      <c r="E97" s="75"/>
      <c r="F97" s="76" t="s">
        <v>926</v>
      </c>
      <c r="G97" s="74" t="s">
        <v>1003</v>
      </c>
      <c r="H97" s="78" t="s">
        <v>62</v>
      </c>
      <c r="I97" s="78" t="s">
        <v>405</v>
      </c>
      <c r="J97" s="79">
        <v>48</v>
      </c>
      <c r="K97" s="79">
        <f>48*392500</f>
        <v>18840000</v>
      </c>
    </row>
    <row r="98" spans="1:11" ht="12.75">
      <c r="A98" s="73" t="str">
        <f t="shared" si="1"/>
        <v>23/10/2020</v>
      </c>
      <c r="B98" s="75"/>
      <c r="C98" s="75"/>
      <c r="D98" s="74" t="s">
        <v>531</v>
      </c>
      <c r="E98" s="75" t="s">
        <v>660</v>
      </c>
      <c r="F98" s="76" t="s">
        <v>926</v>
      </c>
      <c r="G98" s="74" t="s">
        <v>1004</v>
      </c>
      <c r="H98" s="78" t="s">
        <v>361</v>
      </c>
      <c r="I98" s="78" t="s">
        <v>15</v>
      </c>
      <c r="J98" s="79">
        <v>48</v>
      </c>
      <c r="K98" s="79">
        <f>J98*510000</f>
        <v>24480000</v>
      </c>
    </row>
    <row r="99" spans="1:11" ht="12.75">
      <c r="A99" s="73" t="str">
        <f t="shared" si="1"/>
        <v>23/10/2020</v>
      </c>
      <c r="B99" s="75"/>
      <c r="C99" s="75"/>
      <c r="D99" s="74" t="s">
        <v>531</v>
      </c>
      <c r="E99" s="75" t="s">
        <v>660</v>
      </c>
      <c r="F99" s="76" t="s">
        <v>926</v>
      </c>
      <c r="G99" s="74" t="s">
        <v>973</v>
      </c>
      <c r="H99" s="78" t="s">
        <v>361</v>
      </c>
      <c r="I99" s="78" t="s">
        <v>194</v>
      </c>
      <c r="J99" s="79"/>
      <c r="K99" s="79">
        <f>K98*0.1</f>
        <v>2448000</v>
      </c>
    </row>
    <row r="100" spans="1:11" ht="12.75">
      <c r="A100" s="73" t="str">
        <f t="shared" si="1"/>
        <v>24/10/2020</v>
      </c>
      <c r="B100" s="75"/>
      <c r="C100" s="74" t="s">
        <v>287</v>
      </c>
      <c r="D100" s="74"/>
      <c r="E100" s="75"/>
      <c r="F100" s="76" t="s">
        <v>927</v>
      </c>
      <c r="G100" s="74" t="s">
        <v>1005</v>
      </c>
      <c r="H100" s="78" t="s">
        <v>62</v>
      </c>
      <c r="I100" s="78" t="s">
        <v>405</v>
      </c>
      <c r="J100" s="79">
        <v>296</v>
      </c>
      <c r="K100" s="79">
        <f>296*392500</f>
        <v>116180000</v>
      </c>
    </row>
    <row r="101" spans="1:11" ht="12.75">
      <c r="A101" s="73" t="str">
        <f t="shared" si="1"/>
        <v>24/10/2020</v>
      </c>
      <c r="B101" s="75"/>
      <c r="C101" s="75"/>
      <c r="D101" s="74" t="s">
        <v>532</v>
      </c>
      <c r="E101" s="75" t="s">
        <v>661</v>
      </c>
      <c r="F101" s="76" t="s">
        <v>927</v>
      </c>
      <c r="G101" s="74" t="s">
        <v>1006</v>
      </c>
      <c r="H101" s="78" t="s">
        <v>364</v>
      </c>
      <c r="I101" s="78" t="s">
        <v>15</v>
      </c>
      <c r="J101" s="79">
        <v>296</v>
      </c>
      <c r="K101" s="79">
        <f>J101*500000</f>
        <v>148000000</v>
      </c>
    </row>
    <row r="102" spans="1:11" ht="12.75">
      <c r="A102" s="73" t="str">
        <f t="shared" si="1"/>
        <v>24/10/2020</v>
      </c>
      <c r="B102" s="75"/>
      <c r="C102" s="75"/>
      <c r="D102" s="74" t="s">
        <v>532</v>
      </c>
      <c r="E102" s="75" t="s">
        <v>661</v>
      </c>
      <c r="F102" s="76" t="s">
        <v>927</v>
      </c>
      <c r="G102" s="74" t="s">
        <v>973</v>
      </c>
      <c r="H102" s="78" t="s">
        <v>364</v>
      </c>
      <c r="I102" s="78" t="s">
        <v>194</v>
      </c>
      <c r="J102" s="79"/>
      <c r="K102" s="79">
        <f>K101*0.1</f>
        <v>14800000</v>
      </c>
    </row>
    <row r="103" spans="1:11" ht="12.75">
      <c r="A103" s="73" t="str">
        <f t="shared" si="1"/>
        <v>24/10/2020</v>
      </c>
      <c r="B103" s="75"/>
      <c r="C103" s="74" t="s">
        <v>288</v>
      </c>
      <c r="D103" s="74"/>
      <c r="E103" s="75"/>
      <c r="F103" s="76" t="s">
        <v>927</v>
      </c>
      <c r="G103" s="74" t="s">
        <v>1007</v>
      </c>
      <c r="H103" s="78" t="s">
        <v>62</v>
      </c>
      <c r="I103" s="78" t="s">
        <v>405</v>
      </c>
      <c r="J103" s="79">
        <v>150</v>
      </c>
      <c r="K103" s="79">
        <f>150*392500</f>
        <v>58875000</v>
      </c>
    </row>
    <row r="104" spans="1:11" ht="12.75">
      <c r="A104" s="73" t="str">
        <f t="shared" si="1"/>
        <v>24/10/2020</v>
      </c>
      <c r="B104" s="75"/>
      <c r="C104" s="75"/>
      <c r="D104" s="74" t="s">
        <v>533</v>
      </c>
      <c r="E104" s="75" t="s">
        <v>662</v>
      </c>
      <c r="F104" s="76" t="s">
        <v>927</v>
      </c>
      <c r="G104" s="74" t="s">
        <v>1008</v>
      </c>
      <c r="H104" s="78" t="s">
        <v>365</v>
      </c>
      <c r="I104" s="78" t="s">
        <v>15</v>
      </c>
      <c r="J104" s="79">
        <v>150</v>
      </c>
      <c r="K104" s="79">
        <f>J104*520000</f>
        <v>78000000</v>
      </c>
    </row>
    <row r="105" spans="1:11" ht="12.75">
      <c r="A105" s="73" t="str">
        <f t="shared" si="1"/>
        <v>24/10/2020</v>
      </c>
      <c r="B105" s="75"/>
      <c r="C105" s="75"/>
      <c r="D105" s="74" t="s">
        <v>533</v>
      </c>
      <c r="E105" s="75" t="s">
        <v>662</v>
      </c>
      <c r="F105" s="76" t="s">
        <v>927</v>
      </c>
      <c r="G105" s="74" t="s">
        <v>973</v>
      </c>
      <c r="H105" s="78" t="s">
        <v>365</v>
      </c>
      <c r="I105" s="78" t="s">
        <v>194</v>
      </c>
      <c r="J105" s="79"/>
      <c r="K105" s="79">
        <f>K104*0.1</f>
        <v>7800000</v>
      </c>
    </row>
    <row r="106" spans="1:11" ht="12.75">
      <c r="A106" s="73" t="str">
        <f t="shared" si="1"/>
        <v>24/10/2020</v>
      </c>
      <c r="B106" s="75"/>
      <c r="C106" s="74" t="s">
        <v>289</v>
      </c>
      <c r="D106" s="74"/>
      <c r="E106" s="75" t="s">
        <v>663</v>
      </c>
      <c r="F106" s="76" t="s">
        <v>927</v>
      </c>
      <c r="G106" s="74" t="s">
        <v>1009</v>
      </c>
      <c r="H106" s="78" t="s">
        <v>730</v>
      </c>
      <c r="I106" s="78" t="s">
        <v>405</v>
      </c>
      <c r="J106" s="79">
        <v>100</v>
      </c>
      <c r="K106" s="79">
        <f>J106*392500</f>
        <v>39250000</v>
      </c>
    </row>
    <row r="107" spans="1:11" ht="12.75">
      <c r="A107" s="73" t="str">
        <f t="shared" si="1"/>
        <v>24/10/2020</v>
      </c>
      <c r="B107" s="74" t="s">
        <v>290</v>
      </c>
      <c r="C107" s="75"/>
      <c r="D107" s="75"/>
      <c r="E107" s="75" t="s">
        <v>663</v>
      </c>
      <c r="F107" s="76" t="s">
        <v>927</v>
      </c>
      <c r="G107" s="74" t="s">
        <v>1010</v>
      </c>
      <c r="H107" s="78" t="s">
        <v>730</v>
      </c>
      <c r="I107" s="78" t="s">
        <v>344</v>
      </c>
      <c r="J107" s="79"/>
      <c r="K107" s="79">
        <f>50000000-K106</f>
        <v>10750000</v>
      </c>
    </row>
    <row r="108" spans="1:11" ht="12.75">
      <c r="A108" s="73" t="str">
        <f t="shared" si="1"/>
        <v>25/10/2020</v>
      </c>
      <c r="B108" s="74"/>
      <c r="C108" s="74" t="s">
        <v>291</v>
      </c>
      <c r="D108" s="74"/>
      <c r="E108" s="75"/>
      <c r="F108" s="76" t="s">
        <v>928</v>
      </c>
      <c r="G108" s="74" t="s">
        <v>1011</v>
      </c>
      <c r="H108" s="78" t="s">
        <v>62</v>
      </c>
      <c r="I108" s="78" t="s">
        <v>405</v>
      </c>
      <c r="J108" s="79">
        <v>144</v>
      </c>
      <c r="K108" s="79">
        <f>144*392500</f>
        <v>56520000</v>
      </c>
    </row>
    <row r="109" spans="1:11" ht="12.75">
      <c r="A109" s="73" t="str">
        <f t="shared" si="1"/>
        <v>25/10/2020</v>
      </c>
      <c r="B109" s="75"/>
      <c r="C109" s="75"/>
      <c r="D109" s="74" t="s">
        <v>534</v>
      </c>
      <c r="E109" s="75" t="s">
        <v>664</v>
      </c>
      <c r="F109" s="76" t="s">
        <v>928</v>
      </c>
      <c r="G109" s="74" t="s">
        <v>1012</v>
      </c>
      <c r="H109" s="78" t="s">
        <v>366</v>
      </c>
      <c r="I109" s="78" t="s">
        <v>15</v>
      </c>
      <c r="J109" s="79">
        <v>144</v>
      </c>
      <c r="K109" s="79">
        <f>J109*520000</f>
        <v>74880000</v>
      </c>
    </row>
    <row r="110" spans="1:11" ht="12.75">
      <c r="A110" s="73" t="str">
        <f t="shared" si="1"/>
        <v>25/10/2020</v>
      </c>
      <c r="B110" s="75"/>
      <c r="C110" s="75"/>
      <c r="D110" s="74" t="s">
        <v>534</v>
      </c>
      <c r="E110" s="75" t="s">
        <v>664</v>
      </c>
      <c r="F110" s="76" t="s">
        <v>928</v>
      </c>
      <c r="G110" s="74" t="s">
        <v>973</v>
      </c>
      <c r="H110" s="78" t="s">
        <v>366</v>
      </c>
      <c r="I110" s="78" t="s">
        <v>194</v>
      </c>
      <c r="J110" s="79"/>
      <c r="K110" s="79">
        <f>K109*0.1</f>
        <v>7488000</v>
      </c>
    </row>
    <row r="111" spans="1:11" ht="12.75">
      <c r="A111" s="73" t="str">
        <f t="shared" si="1"/>
        <v>25/10/2020</v>
      </c>
      <c r="B111" s="74"/>
      <c r="C111" s="75"/>
      <c r="D111" s="74" t="s">
        <v>535</v>
      </c>
      <c r="E111" s="74" t="s">
        <v>691</v>
      </c>
      <c r="F111" s="76" t="s">
        <v>928</v>
      </c>
      <c r="G111" s="74" t="s">
        <v>1013</v>
      </c>
      <c r="H111" s="78" t="s">
        <v>433</v>
      </c>
      <c r="I111" s="78" t="s">
        <v>347</v>
      </c>
      <c r="J111" s="79"/>
      <c r="K111" s="79">
        <v>5000000</v>
      </c>
    </row>
    <row r="112" spans="1:11" ht="12.75">
      <c r="A112" s="73" t="str">
        <f t="shared" si="1"/>
        <v>25/10/2020</v>
      </c>
      <c r="B112" s="74"/>
      <c r="C112" s="75"/>
      <c r="D112" s="74" t="s">
        <v>536</v>
      </c>
      <c r="E112" s="74" t="s">
        <v>692</v>
      </c>
      <c r="F112" s="76" t="s">
        <v>928</v>
      </c>
      <c r="G112" s="74" t="s">
        <v>1014</v>
      </c>
      <c r="H112" s="78" t="s">
        <v>347</v>
      </c>
      <c r="I112" s="78" t="s">
        <v>362</v>
      </c>
      <c r="J112" s="79"/>
      <c r="K112" s="79">
        <v>9000000</v>
      </c>
    </row>
    <row r="113" spans="1:11" ht="12.75">
      <c r="A113" s="73" t="str">
        <f t="shared" si="1"/>
        <v>25/10/2020</v>
      </c>
      <c r="B113" s="75"/>
      <c r="C113" s="74" t="s">
        <v>292</v>
      </c>
      <c r="D113" s="74"/>
      <c r="E113" s="75"/>
      <c r="F113" s="76" t="s">
        <v>928</v>
      </c>
      <c r="G113" s="74" t="s">
        <v>1015</v>
      </c>
      <c r="H113" s="78" t="s">
        <v>27</v>
      </c>
      <c r="I113" s="78" t="s">
        <v>397</v>
      </c>
      <c r="J113" s="79">
        <v>20000</v>
      </c>
      <c r="K113" s="79">
        <f>J113*10651</f>
        <v>213020000</v>
      </c>
    </row>
    <row r="114" spans="1:11" ht="12.75">
      <c r="A114" s="73" t="str">
        <f t="shared" si="1"/>
        <v>25/10/2020</v>
      </c>
      <c r="B114" s="75"/>
      <c r="C114" s="74" t="s">
        <v>292</v>
      </c>
      <c r="D114" s="74"/>
      <c r="E114" s="75"/>
      <c r="F114" s="76" t="s">
        <v>928</v>
      </c>
      <c r="G114" s="74" t="s">
        <v>1016</v>
      </c>
      <c r="H114" s="78" t="s">
        <v>29</v>
      </c>
      <c r="I114" s="78" t="s">
        <v>397</v>
      </c>
      <c r="J114" s="79">
        <v>2550</v>
      </c>
      <c r="K114" s="79">
        <f>J114*10651</f>
        <v>27160050</v>
      </c>
    </row>
    <row r="115" spans="1:11" ht="12.75">
      <c r="A115" s="73" t="str">
        <f t="shared" si="1"/>
        <v>25/10/2020</v>
      </c>
      <c r="B115" s="75"/>
      <c r="C115" s="74" t="s">
        <v>292</v>
      </c>
      <c r="D115" s="74"/>
      <c r="E115" s="75"/>
      <c r="F115" s="76" t="s">
        <v>928</v>
      </c>
      <c r="G115" s="74" t="s">
        <v>1017</v>
      </c>
      <c r="H115" s="78" t="s">
        <v>27</v>
      </c>
      <c r="I115" s="80" t="s">
        <v>396</v>
      </c>
      <c r="J115" s="79">
        <v>14500</v>
      </c>
      <c r="K115" s="79">
        <f>14500*18585</f>
        <v>269482500</v>
      </c>
    </row>
    <row r="116" spans="1:11" ht="12.75">
      <c r="A116" s="73" t="str">
        <f t="shared" si="1"/>
        <v>25/10/2020</v>
      </c>
      <c r="B116" s="75"/>
      <c r="C116" s="74" t="s">
        <v>295</v>
      </c>
      <c r="D116" s="74"/>
      <c r="E116" s="75"/>
      <c r="F116" s="76" t="s">
        <v>928</v>
      </c>
      <c r="G116" s="74" t="s">
        <v>1018</v>
      </c>
      <c r="H116" s="78" t="s">
        <v>38</v>
      </c>
      <c r="I116" s="78" t="s">
        <v>397</v>
      </c>
      <c r="J116" s="79">
        <v>510</v>
      </c>
      <c r="K116" s="79">
        <f>J116*10651</f>
        <v>5432010</v>
      </c>
    </row>
    <row r="117" spans="1:11" ht="12.75">
      <c r="A117" s="73" t="str">
        <f t="shared" si="1"/>
        <v>25/10/2020</v>
      </c>
      <c r="B117" s="75"/>
      <c r="C117" s="74" t="s">
        <v>295</v>
      </c>
      <c r="D117" s="74"/>
      <c r="E117" s="75"/>
      <c r="F117" s="76" t="s">
        <v>928</v>
      </c>
      <c r="G117" s="74" t="s">
        <v>1019</v>
      </c>
      <c r="H117" s="78" t="s">
        <v>40</v>
      </c>
      <c r="I117" s="78" t="s">
        <v>397</v>
      </c>
      <c r="J117" s="79">
        <v>2550</v>
      </c>
      <c r="K117" s="79">
        <f>J117*10651</f>
        <v>27160050</v>
      </c>
    </row>
    <row r="118" spans="1:11" ht="12.75">
      <c r="A118" s="73" t="str">
        <f t="shared" si="1"/>
        <v>25/10/2020</v>
      </c>
      <c r="B118" s="75"/>
      <c r="C118" s="74" t="s">
        <v>295</v>
      </c>
      <c r="D118" s="74"/>
      <c r="E118" s="75"/>
      <c r="F118" s="76" t="s">
        <v>928</v>
      </c>
      <c r="G118" s="74" t="s">
        <v>1020</v>
      </c>
      <c r="H118" s="78" t="s">
        <v>70</v>
      </c>
      <c r="I118" s="78" t="s">
        <v>397</v>
      </c>
      <c r="J118" s="79">
        <v>200</v>
      </c>
      <c r="K118" s="79">
        <f>J118*10651</f>
        <v>2130200</v>
      </c>
    </row>
    <row r="119" spans="1:11" ht="12.75">
      <c r="A119" s="73" t="str">
        <f t="shared" si="1"/>
        <v>25/10/2020</v>
      </c>
      <c r="B119" s="75"/>
      <c r="C119" s="74" t="s">
        <v>295</v>
      </c>
      <c r="D119" s="74"/>
      <c r="E119" s="75"/>
      <c r="F119" s="76" t="s">
        <v>928</v>
      </c>
      <c r="G119" s="74" t="s">
        <v>1021</v>
      </c>
      <c r="H119" s="78" t="s">
        <v>84</v>
      </c>
      <c r="I119" s="78" t="s">
        <v>397</v>
      </c>
      <c r="J119" s="79">
        <v>379</v>
      </c>
      <c r="K119" s="79">
        <f>J119*10651</f>
        <v>4036729</v>
      </c>
    </row>
    <row r="120" spans="1:11" ht="12.75">
      <c r="A120" s="73" t="str">
        <f t="shared" si="1"/>
        <v>26/10/2020</v>
      </c>
      <c r="B120" s="75"/>
      <c r="C120" s="74" t="s">
        <v>293</v>
      </c>
      <c r="D120" s="74"/>
      <c r="E120" s="75"/>
      <c r="F120" s="76" t="s">
        <v>931</v>
      </c>
      <c r="G120" s="74" t="s">
        <v>1022</v>
      </c>
      <c r="H120" s="78" t="s">
        <v>406</v>
      </c>
      <c r="I120" s="78" t="s">
        <v>403</v>
      </c>
      <c r="J120" s="79">
        <v>500</v>
      </c>
      <c r="K120" s="79">
        <f>500*317500</f>
        <v>158750000</v>
      </c>
    </row>
    <row r="121" spans="1:11" ht="12.75">
      <c r="A121" s="73" t="str">
        <f t="shared" si="1"/>
        <v>26/10/2020</v>
      </c>
      <c r="B121" s="75"/>
      <c r="C121" s="74" t="s">
        <v>294</v>
      </c>
      <c r="D121" s="74"/>
      <c r="E121" s="75"/>
      <c r="F121" s="76" t="s">
        <v>931</v>
      </c>
      <c r="G121" s="74" t="s">
        <v>1023</v>
      </c>
      <c r="H121" s="78" t="s">
        <v>62</v>
      </c>
      <c r="I121" s="78" t="s">
        <v>406</v>
      </c>
      <c r="J121" s="79">
        <v>290</v>
      </c>
      <c r="K121" s="79">
        <f>J121*317545</f>
        <v>92088050</v>
      </c>
    </row>
    <row r="122" spans="1:11" ht="12.75">
      <c r="A122" s="73" t="str">
        <f t="shared" si="1"/>
        <v>26/10/2020</v>
      </c>
      <c r="B122" s="75"/>
      <c r="C122" s="75"/>
      <c r="D122" s="74" t="s">
        <v>537</v>
      </c>
      <c r="E122" s="75" t="s">
        <v>665</v>
      </c>
      <c r="F122" s="76" t="s">
        <v>931</v>
      </c>
      <c r="G122" s="74" t="s">
        <v>1024</v>
      </c>
      <c r="H122" s="78" t="s">
        <v>370</v>
      </c>
      <c r="I122" s="78" t="s">
        <v>15</v>
      </c>
      <c r="J122" s="79">
        <v>290</v>
      </c>
      <c r="K122" s="79">
        <f>J122*390000</f>
        <v>113100000</v>
      </c>
    </row>
    <row r="123" spans="1:11" ht="12.75">
      <c r="A123" s="73" t="str">
        <f t="shared" si="1"/>
        <v>26/10/2020</v>
      </c>
      <c r="B123" s="75"/>
      <c r="C123" s="75"/>
      <c r="D123" s="74" t="s">
        <v>537</v>
      </c>
      <c r="E123" s="75" t="s">
        <v>665</v>
      </c>
      <c r="F123" s="76" t="s">
        <v>931</v>
      </c>
      <c r="G123" s="74" t="s">
        <v>1025</v>
      </c>
      <c r="H123" s="78" t="s">
        <v>370</v>
      </c>
      <c r="I123" s="78" t="s">
        <v>194</v>
      </c>
      <c r="J123" s="79"/>
      <c r="K123" s="79">
        <f>K122*0.05</f>
        <v>5655000</v>
      </c>
    </row>
    <row r="124" spans="1:11" ht="12.75">
      <c r="A124" s="73" t="str">
        <f t="shared" si="1"/>
        <v>27/10/2020</v>
      </c>
      <c r="B124" s="75"/>
      <c r="C124" s="74" t="s">
        <v>296</v>
      </c>
      <c r="D124" s="74"/>
      <c r="E124" s="75"/>
      <c r="F124" s="76" t="s">
        <v>932</v>
      </c>
      <c r="G124" s="74" t="s">
        <v>1026</v>
      </c>
      <c r="H124" s="78" t="s">
        <v>38</v>
      </c>
      <c r="I124" s="80" t="s">
        <v>399</v>
      </c>
      <c r="J124" s="79">
        <v>530</v>
      </c>
      <c r="K124" s="79">
        <f>J124*16371</f>
        <v>8676630</v>
      </c>
    </row>
    <row r="125" spans="1:11" ht="12.75">
      <c r="A125" s="73" t="str">
        <f t="shared" si="1"/>
        <v>27/10/2020</v>
      </c>
      <c r="B125" s="75"/>
      <c r="C125" s="74" t="s">
        <v>296</v>
      </c>
      <c r="D125" s="74"/>
      <c r="E125" s="75"/>
      <c r="F125" s="76" t="s">
        <v>932</v>
      </c>
      <c r="G125" s="74" t="s">
        <v>1027</v>
      </c>
      <c r="H125" s="78" t="s">
        <v>40</v>
      </c>
      <c r="I125" s="80" t="s">
        <v>399</v>
      </c>
      <c r="J125" s="79">
        <v>50</v>
      </c>
      <c r="K125" s="79">
        <f>J125*16371</f>
        <v>818550</v>
      </c>
    </row>
    <row r="126" spans="1:11" ht="12.75">
      <c r="A126" s="73" t="str">
        <f t="shared" si="1"/>
        <v>27/10/2020</v>
      </c>
      <c r="B126" s="75"/>
      <c r="C126" s="74" t="s">
        <v>296</v>
      </c>
      <c r="D126" s="74"/>
      <c r="E126" s="75"/>
      <c r="F126" s="76" t="s">
        <v>932</v>
      </c>
      <c r="G126" s="74" t="s">
        <v>1028</v>
      </c>
      <c r="H126" s="78" t="s">
        <v>84</v>
      </c>
      <c r="I126" s="80" t="s">
        <v>399</v>
      </c>
      <c r="J126" s="79">
        <v>83</v>
      </c>
      <c r="K126" s="79">
        <f>J126*16371</f>
        <v>1358793</v>
      </c>
    </row>
    <row r="127" spans="1:11" ht="12.75">
      <c r="A127" s="73" t="str">
        <f t="shared" si="1"/>
        <v>27/10/2020</v>
      </c>
      <c r="B127" s="75"/>
      <c r="C127" s="74" t="s">
        <v>298</v>
      </c>
      <c r="D127" s="74"/>
      <c r="E127" s="75"/>
      <c r="F127" s="76" t="s">
        <v>932</v>
      </c>
      <c r="G127" s="74" t="s">
        <v>1029</v>
      </c>
      <c r="H127" s="78" t="s">
        <v>809</v>
      </c>
      <c r="I127" s="78" t="s">
        <v>733</v>
      </c>
      <c r="J127" s="79">
        <v>25</v>
      </c>
      <c r="K127" s="79">
        <f>J127*245000</f>
        <v>6125000</v>
      </c>
    </row>
    <row r="128" spans="1:11" ht="12.75">
      <c r="A128" s="73" t="str">
        <f t="shared" si="1"/>
        <v>27/10/2020</v>
      </c>
      <c r="B128" s="75"/>
      <c r="C128" s="74" t="s">
        <v>299</v>
      </c>
      <c r="D128" s="74"/>
      <c r="E128" s="75"/>
      <c r="F128" s="76" t="s">
        <v>932</v>
      </c>
      <c r="G128" s="74" t="s">
        <v>1030</v>
      </c>
      <c r="H128" s="78" t="s">
        <v>86</v>
      </c>
      <c r="I128" s="78" t="s">
        <v>733</v>
      </c>
      <c r="J128" s="79">
        <v>4</v>
      </c>
      <c r="K128" s="79">
        <f>J128*245000</f>
        <v>980000</v>
      </c>
    </row>
    <row r="129" spans="1:11" ht="12.75">
      <c r="A129" s="73" t="str">
        <f t="shared" si="1"/>
        <v>27/10/2020</v>
      </c>
      <c r="B129" s="75"/>
      <c r="C129" s="75"/>
      <c r="D129" s="74" t="s">
        <v>538</v>
      </c>
      <c r="E129" s="74" t="s">
        <v>693</v>
      </c>
      <c r="F129" s="76" t="s">
        <v>932</v>
      </c>
      <c r="G129" s="74" t="s">
        <v>1031</v>
      </c>
      <c r="H129" s="78" t="s">
        <v>86</v>
      </c>
      <c r="I129" s="78" t="s">
        <v>809</v>
      </c>
      <c r="J129" s="79"/>
      <c r="K129" s="79">
        <f>K127/2</f>
        <v>3062500</v>
      </c>
    </row>
    <row r="130" spans="1:11" ht="12.75">
      <c r="A130" s="73" t="str">
        <f t="shared" si="1"/>
        <v>28/10/2020</v>
      </c>
      <c r="B130" s="74"/>
      <c r="C130" s="75"/>
      <c r="D130" s="74" t="s">
        <v>539</v>
      </c>
      <c r="E130" s="74" t="s">
        <v>694</v>
      </c>
      <c r="F130" s="76" t="s">
        <v>933</v>
      </c>
      <c r="G130" s="74" t="s">
        <v>1032</v>
      </c>
      <c r="H130" s="78" t="s">
        <v>431</v>
      </c>
      <c r="I130" s="78" t="s">
        <v>347</v>
      </c>
      <c r="J130" s="79"/>
      <c r="K130" s="79">
        <v>80000000</v>
      </c>
    </row>
    <row r="131" spans="1:11" ht="12.75">
      <c r="A131" s="73" t="str">
        <f t="shared" si="1"/>
        <v>28/10/2020</v>
      </c>
      <c r="B131" s="75"/>
      <c r="C131" s="75"/>
      <c r="D131" s="74" t="s">
        <v>540</v>
      </c>
      <c r="E131" s="75" t="s">
        <v>695</v>
      </c>
      <c r="F131" s="76" t="s">
        <v>933</v>
      </c>
      <c r="G131" s="74" t="s">
        <v>1033</v>
      </c>
      <c r="H131" s="78" t="s">
        <v>96</v>
      </c>
      <c r="I131" s="78" t="s">
        <v>394</v>
      </c>
      <c r="J131" s="79"/>
      <c r="K131" s="79">
        <v>9000000</v>
      </c>
    </row>
    <row r="132" spans="1:11" ht="12.75">
      <c r="A132" s="73" t="str">
        <f t="shared" si="1"/>
        <v>28/10/2020</v>
      </c>
      <c r="B132" s="75"/>
      <c r="C132" s="74" t="s">
        <v>300</v>
      </c>
      <c r="D132" s="74"/>
      <c r="E132" s="75"/>
      <c r="F132" s="76" t="s">
        <v>933</v>
      </c>
      <c r="G132" s="74" t="s">
        <v>1022</v>
      </c>
      <c r="H132" s="78" t="s">
        <v>406</v>
      </c>
      <c r="I132" s="78" t="s">
        <v>403</v>
      </c>
      <c r="J132" s="79">
        <v>500</v>
      </c>
      <c r="K132" s="79">
        <f>500*317500</f>
        <v>158750000</v>
      </c>
    </row>
    <row r="133" spans="1:11" ht="12.75">
      <c r="A133" s="73" t="str">
        <f t="shared" si="1"/>
        <v>28/10/2020</v>
      </c>
      <c r="B133" s="74"/>
      <c r="C133" s="75"/>
      <c r="D133" s="74" t="s">
        <v>541</v>
      </c>
      <c r="E133" s="74" t="s">
        <v>696</v>
      </c>
      <c r="F133" s="76" t="s">
        <v>933</v>
      </c>
      <c r="G133" s="74" t="s">
        <v>1034</v>
      </c>
      <c r="H133" s="78" t="s">
        <v>347</v>
      </c>
      <c r="I133" s="78" t="s">
        <v>363</v>
      </c>
      <c r="J133" s="79"/>
      <c r="K133" s="79">
        <v>1200000</v>
      </c>
    </row>
    <row r="134" spans="1:11" ht="12.75">
      <c r="A134" s="73" t="str">
        <f t="shared" si="1"/>
        <v>28/10/2020</v>
      </c>
      <c r="B134" s="75"/>
      <c r="C134" s="74" t="s">
        <v>301</v>
      </c>
      <c r="D134" s="74"/>
      <c r="E134" s="75"/>
      <c r="F134" s="76" t="s">
        <v>933</v>
      </c>
      <c r="G134" s="74" t="s">
        <v>1035</v>
      </c>
      <c r="H134" s="78" t="s">
        <v>62</v>
      </c>
      <c r="I134" s="78" t="s">
        <v>405</v>
      </c>
      <c r="J134" s="79">
        <v>100</v>
      </c>
      <c r="K134" s="79">
        <f>J134*392500</f>
        <v>39250000</v>
      </c>
    </row>
    <row r="135" spans="1:11" ht="12.75">
      <c r="A135" s="73" t="str">
        <f aca="true" t="shared" si="2" ref="A135:A198">F135</f>
        <v>28/10/2020</v>
      </c>
      <c r="B135" s="75"/>
      <c r="C135" s="74"/>
      <c r="D135" s="74" t="s">
        <v>542</v>
      </c>
      <c r="E135" s="75" t="s">
        <v>666</v>
      </c>
      <c r="F135" s="76" t="s">
        <v>933</v>
      </c>
      <c r="G135" s="74" t="s">
        <v>1036</v>
      </c>
      <c r="H135" s="78" t="s">
        <v>361</v>
      </c>
      <c r="I135" s="78" t="s">
        <v>15</v>
      </c>
      <c r="J135" s="79">
        <v>100</v>
      </c>
      <c r="K135" s="79">
        <f>100*510000</f>
        <v>51000000</v>
      </c>
    </row>
    <row r="136" spans="1:11" ht="12.75">
      <c r="A136" s="73" t="str">
        <f t="shared" si="2"/>
        <v>28/10/2020</v>
      </c>
      <c r="B136" s="75"/>
      <c r="C136" s="74"/>
      <c r="D136" s="74" t="s">
        <v>542</v>
      </c>
      <c r="E136" s="75" t="s">
        <v>666</v>
      </c>
      <c r="F136" s="76" t="s">
        <v>933</v>
      </c>
      <c r="G136" s="74" t="s">
        <v>973</v>
      </c>
      <c r="H136" s="78" t="s">
        <v>361</v>
      </c>
      <c r="I136" s="78" t="s">
        <v>194</v>
      </c>
      <c r="J136" s="79"/>
      <c r="K136" s="79">
        <f>K135*0.1</f>
        <v>5100000</v>
      </c>
    </row>
    <row r="137" spans="1:11" ht="12.75">
      <c r="A137" s="73" t="str">
        <f t="shared" si="2"/>
        <v>28/10/2020</v>
      </c>
      <c r="B137" s="74"/>
      <c r="C137" s="75"/>
      <c r="D137" s="74" t="s">
        <v>543</v>
      </c>
      <c r="E137" s="74" t="s">
        <v>697</v>
      </c>
      <c r="F137" s="76" t="s">
        <v>933</v>
      </c>
      <c r="G137" s="74" t="s">
        <v>1037</v>
      </c>
      <c r="H137" s="78" t="s">
        <v>443</v>
      </c>
      <c r="I137" s="78" t="s">
        <v>347</v>
      </c>
      <c r="J137" s="79"/>
      <c r="K137" s="79">
        <v>60000000</v>
      </c>
    </row>
    <row r="138" spans="1:11" ht="12.75">
      <c r="A138" s="73" t="str">
        <f t="shared" si="2"/>
        <v>28/10/2020</v>
      </c>
      <c r="B138" s="74"/>
      <c r="C138" s="75"/>
      <c r="D138" s="74" t="s">
        <v>544</v>
      </c>
      <c r="E138" s="74" t="s">
        <v>698</v>
      </c>
      <c r="F138" s="76" t="s">
        <v>933</v>
      </c>
      <c r="G138" s="74" t="s">
        <v>1038</v>
      </c>
      <c r="H138" s="78" t="s">
        <v>439</v>
      </c>
      <c r="I138" s="78" t="s">
        <v>347</v>
      </c>
      <c r="J138" s="79"/>
      <c r="K138" s="79">
        <v>30000000</v>
      </c>
    </row>
    <row r="139" spans="1:11" ht="12.75">
      <c r="A139" s="73" t="str">
        <f t="shared" si="2"/>
        <v>28/10/2020</v>
      </c>
      <c r="B139" s="75"/>
      <c r="C139" s="74" t="s">
        <v>297</v>
      </c>
      <c r="D139" s="74"/>
      <c r="E139" s="75"/>
      <c r="F139" s="76" t="s">
        <v>933</v>
      </c>
      <c r="G139" s="74" t="s">
        <v>1039</v>
      </c>
      <c r="H139" s="78" t="s">
        <v>26</v>
      </c>
      <c r="I139" s="80" t="s">
        <v>396</v>
      </c>
      <c r="J139" s="79">
        <v>12100</v>
      </c>
      <c r="K139" s="79">
        <f>12100*18585</f>
        <v>224878500</v>
      </c>
    </row>
    <row r="140" spans="1:11" ht="12.75">
      <c r="A140" s="73" t="str">
        <f t="shared" si="2"/>
        <v>28/10/2020</v>
      </c>
      <c r="B140" s="75"/>
      <c r="C140" s="74" t="s">
        <v>297</v>
      </c>
      <c r="D140" s="74"/>
      <c r="E140" s="75"/>
      <c r="F140" s="76" t="s">
        <v>933</v>
      </c>
      <c r="G140" s="74" t="s">
        <v>1040</v>
      </c>
      <c r="H140" s="78" t="s">
        <v>26</v>
      </c>
      <c r="I140" s="78" t="s">
        <v>397</v>
      </c>
      <c r="J140" s="79">
        <v>30000</v>
      </c>
      <c r="K140" s="79">
        <f aca="true" t="shared" si="3" ref="K140:K145">J140*10651</f>
        <v>319530000</v>
      </c>
    </row>
    <row r="141" spans="1:11" ht="12.75">
      <c r="A141" s="73" t="str">
        <f t="shared" si="2"/>
        <v>28/10/2020</v>
      </c>
      <c r="B141" s="75"/>
      <c r="C141" s="74" t="s">
        <v>297</v>
      </c>
      <c r="D141" s="74"/>
      <c r="E141" s="75"/>
      <c r="F141" s="76" t="s">
        <v>933</v>
      </c>
      <c r="G141" s="74" t="s">
        <v>1041</v>
      </c>
      <c r="H141" s="78" t="s">
        <v>29</v>
      </c>
      <c r="I141" s="78" t="s">
        <v>397</v>
      </c>
      <c r="J141" s="79">
        <v>1275</v>
      </c>
      <c r="K141" s="79">
        <f t="shared" si="3"/>
        <v>13580025</v>
      </c>
    </row>
    <row r="142" spans="1:11" ht="12.75">
      <c r="A142" s="73" t="str">
        <f t="shared" si="2"/>
        <v>28/10/2020</v>
      </c>
      <c r="B142" s="75"/>
      <c r="C142" s="74" t="s">
        <v>302</v>
      </c>
      <c r="D142" s="74"/>
      <c r="E142" s="75"/>
      <c r="F142" s="76" t="s">
        <v>933</v>
      </c>
      <c r="G142" s="74" t="s">
        <v>1042</v>
      </c>
      <c r="H142" s="78" t="s">
        <v>38</v>
      </c>
      <c r="I142" s="78" t="s">
        <v>397</v>
      </c>
      <c r="J142" s="79">
        <v>255</v>
      </c>
      <c r="K142" s="79">
        <f t="shared" si="3"/>
        <v>2716005</v>
      </c>
    </row>
    <row r="143" spans="1:11" ht="12.75">
      <c r="A143" s="73" t="str">
        <f t="shared" si="2"/>
        <v>28/10/2020</v>
      </c>
      <c r="B143" s="75"/>
      <c r="C143" s="74" t="s">
        <v>302</v>
      </c>
      <c r="D143" s="74"/>
      <c r="E143" s="75"/>
      <c r="F143" s="76" t="s">
        <v>933</v>
      </c>
      <c r="G143" s="74" t="s">
        <v>1043</v>
      </c>
      <c r="H143" s="78" t="s">
        <v>40</v>
      </c>
      <c r="I143" s="78" t="s">
        <v>397</v>
      </c>
      <c r="J143" s="79">
        <v>1275</v>
      </c>
      <c r="K143" s="79">
        <f t="shared" si="3"/>
        <v>13580025</v>
      </c>
    </row>
    <row r="144" spans="1:11" ht="12.75">
      <c r="A144" s="73" t="str">
        <f t="shared" si="2"/>
        <v>28/10/2020</v>
      </c>
      <c r="B144" s="75"/>
      <c r="C144" s="74" t="s">
        <v>303</v>
      </c>
      <c r="D144" s="74"/>
      <c r="E144" s="75"/>
      <c r="F144" s="76" t="s">
        <v>933</v>
      </c>
      <c r="G144" s="74" t="s">
        <v>1020</v>
      </c>
      <c r="H144" s="78" t="s">
        <v>70</v>
      </c>
      <c r="I144" s="78" t="s">
        <v>397</v>
      </c>
      <c r="J144" s="79">
        <v>120</v>
      </c>
      <c r="K144" s="79">
        <f t="shared" si="3"/>
        <v>1278120</v>
      </c>
    </row>
    <row r="145" spans="1:11" ht="12.75">
      <c r="A145" s="73" t="str">
        <f t="shared" si="2"/>
        <v>28/10/2020</v>
      </c>
      <c r="B145" s="75"/>
      <c r="C145" s="74" t="s">
        <v>303</v>
      </c>
      <c r="D145" s="74"/>
      <c r="E145" s="75"/>
      <c r="F145" s="76" t="s">
        <v>933</v>
      </c>
      <c r="G145" s="74" t="s">
        <v>1044</v>
      </c>
      <c r="H145" s="78" t="s">
        <v>84</v>
      </c>
      <c r="I145" s="78" t="s">
        <v>397</v>
      </c>
      <c r="J145" s="79">
        <v>50</v>
      </c>
      <c r="K145" s="79">
        <f t="shared" si="3"/>
        <v>532550</v>
      </c>
    </row>
    <row r="146" spans="1:11" ht="12.75">
      <c r="A146" s="73" t="str">
        <f t="shared" si="2"/>
        <v>28/10/2020</v>
      </c>
      <c r="B146" s="75"/>
      <c r="C146" s="74" t="s">
        <v>304</v>
      </c>
      <c r="D146" s="74"/>
      <c r="E146" s="75"/>
      <c r="F146" s="76" t="s">
        <v>933</v>
      </c>
      <c r="G146" s="74" t="s">
        <v>1045</v>
      </c>
      <c r="H146" s="78" t="s">
        <v>38</v>
      </c>
      <c r="I146" s="80" t="s">
        <v>399</v>
      </c>
      <c r="J146" s="79">
        <v>281</v>
      </c>
      <c r="K146" s="79">
        <f>J146*16371</f>
        <v>4600251</v>
      </c>
    </row>
    <row r="147" spans="1:11" ht="12.75">
      <c r="A147" s="73" t="str">
        <f t="shared" si="2"/>
        <v>28/10/2020</v>
      </c>
      <c r="B147" s="75"/>
      <c r="C147" s="74" t="s">
        <v>304</v>
      </c>
      <c r="D147" s="74"/>
      <c r="E147" s="75"/>
      <c r="F147" s="76" t="s">
        <v>933</v>
      </c>
      <c r="G147" s="74" t="s">
        <v>1046</v>
      </c>
      <c r="H147" s="78" t="s">
        <v>40</v>
      </c>
      <c r="I147" s="80" t="s">
        <v>399</v>
      </c>
      <c r="J147" s="79">
        <v>23</v>
      </c>
      <c r="K147" s="79">
        <f>J147*16371</f>
        <v>376533</v>
      </c>
    </row>
    <row r="148" spans="1:11" ht="12.75">
      <c r="A148" s="73" t="str">
        <f t="shared" si="2"/>
        <v>28/10/2020</v>
      </c>
      <c r="B148" s="75"/>
      <c r="C148" s="74" t="s">
        <v>304</v>
      </c>
      <c r="D148" s="74"/>
      <c r="E148" s="75"/>
      <c r="F148" s="76" t="s">
        <v>933</v>
      </c>
      <c r="G148" s="74" t="s">
        <v>1047</v>
      </c>
      <c r="H148" s="78" t="s">
        <v>84</v>
      </c>
      <c r="I148" s="80" t="s">
        <v>399</v>
      </c>
      <c r="J148" s="79">
        <v>60</v>
      </c>
      <c r="K148" s="79">
        <f>J148*16371</f>
        <v>982260</v>
      </c>
    </row>
    <row r="149" spans="1:11" ht="12.75">
      <c r="A149" s="73" t="str">
        <f t="shared" si="2"/>
        <v>28/10/2020</v>
      </c>
      <c r="B149" s="75"/>
      <c r="C149" s="74" t="s">
        <v>305</v>
      </c>
      <c r="D149" s="74"/>
      <c r="E149" s="75"/>
      <c r="F149" s="76" t="s">
        <v>933</v>
      </c>
      <c r="G149" s="74" t="s">
        <v>1048</v>
      </c>
      <c r="H149" s="78" t="s">
        <v>38</v>
      </c>
      <c r="I149" s="80" t="s">
        <v>400</v>
      </c>
      <c r="J149" s="79">
        <v>340</v>
      </c>
      <c r="K149" s="79">
        <f>J149*2140</f>
        <v>727600</v>
      </c>
    </row>
    <row r="150" spans="1:11" ht="12.75">
      <c r="A150" s="73" t="str">
        <f t="shared" si="2"/>
        <v>28/10/2020</v>
      </c>
      <c r="B150" s="75"/>
      <c r="C150" s="74" t="s">
        <v>305</v>
      </c>
      <c r="D150" s="74"/>
      <c r="E150" s="75"/>
      <c r="F150" s="76" t="s">
        <v>933</v>
      </c>
      <c r="G150" s="74" t="s">
        <v>1048</v>
      </c>
      <c r="H150" s="78" t="s">
        <v>40</v>
      </c>
      <c r="I150" s="80" t="s">
        <v>400</v>
      </c>
      <c r="J150" s="79">
        <v>68</v>
      </c>
      <c r="K150" s="79">
        <f>J150*2140</f>
        <v>145520</v>
      </c>
    </row>
    <row r="151" spans="1:11" ht="12.75">
      <c r="A151" s="73" t="str">
        <f t="shared" si="2"/>
        <v>28/10/2020</v>
      </c>
      <c r="B151" s="75"/>
      <c r="C151" s="74" t="s">
        <v>305</v>
      </c>
      <c r="D151" s="74"/>
      <c r="E151" s="75"/>
      <c r="F151" s="76" t="s">
        <v>933</v>
      </c>
      <c r="G151" s="74" t="s">
        <v>1048</v>
      </c>
      <c r="H151" s="78" t="s">
        <v>84</v>
      </c>
      <c r="I151" s="80" t="s">
        <v>400</v>
      </c>
      <c r="J151" s="79">
        <v>34</v>
      </c>
      <c r="K151" s="79">
        <f>J151*2140</f>
        <v>72760</v>
      </c>
    </row>
    <row r="152" spans="1:11" ht="12.75">
      <c r="A152" s="73" t="str">
        <f t="shared" si="2"/>
        <v>28/10/2020</v>
      </c>
      <c r="B152" s="75"/>
      <c r="C152" s="74" t="s">
        <v>309</v>
      </c>
      <c r="D152" s="74"/>
      <c r="E152" s="75"/>
      <c r="F152" s="76" t="s">
        <v>933</v>
      </c>
      <c r="G152" s="74" t="s">
        <v>1049</v>
      </c>
      <c r="H152" s="78" t="s">
        <v>809</v>
      </c>
      <c r="I152" s="78" t="s">
        <v>733</v>
      </c>
      <c r="J152" s="79">
        <v>17</v>
      </c>
      <c r="K152" s="79">
        <f>J152*245000</f>
        <v>4165000</v>
      </c>
    </row>
    <row r="153" spans="1:11" ht="12.75">
      <c r="A153" s="73" t="str">
        <f t="shared" si="2"/>
        <v>28/10/2020</v>
      </c>
      <c r="B153" s="75"/>
      <c r="C153" s="75"/>
      <c r="D153" s="74" t="s">
        <v>545</v>
      </c>
      <c r="E153" s="74" t="s">
        <v>699</v>
      </c>
      <c r="F153" s="76" t="s">
        <v>933</v>
      </c>
      <c r="G153" s="74" t="s">
        <v>1050</v>
      </c>
      <c r="H153" s="78" t="s">
        <v>44</v>
      </c>
      <c r="I153" s="78" t="s">
        <v>809</v>
      </c>
      <c r="J153" s="79"/>
      <c r="K153" s="79">
        <f>K152/2</f>
        <v>2082500</v>
      </c>
    </row>
    <row r="154" spans="1:11" ht="12.75">
      <c r="A154" s="73" t="str">
        <f t="shared" si="2"/>
        <v>28/10/2020</v>
      </c>
      <c r="B154" s="75"/>
      <c r="C154" s="74" t="s">
        <v>310</v>
      </c>
      <c r="D154" s="74"/>
      <c r="E154" s="75"/>
      <c r="F154" s="76" t="s">
        <v>933</v>
      </c>
      <c r="G154" s="74" t="s">
        <v>1051</v>
      </c>
      <c r="H154" s="78" t="s">
        <v>86</v>
      </c>
      <c r="I154" s="78" t="s">
        <v>733</v>
      </c>
      <c r="J154" s="79">
        <v>6</v>
      </c>
      <c r="K154" s="79">
        <f>J154*245000</f>
        <v>1470000</v>
      </c>
    </row>
    <row r="155" spans="1:11" ht="12.75">
      <c r="A155" s="73" t="str">
        <f t="shared" si="2"/>
        <v>29/10/2020</v>
      </c>
      <c r="B155" s="75"/>
      <c r="C155" s="74" t="s">
        <v>311</v>
      </c>
      <c r="D155" s="74"/>
      <c r="E155" s="75"/>
      <c r="F155" s="76" t="s">
        <v>934</v>
      </c>
      <c r="G155" s="74" t="s">
        <v>1052</v>
      </c>
      <c r="H155" s="78" t="s">
        <v>62</v>
      </c>
      <c r="I155" s="78" t="s">
        <v>405</v>
      </c>
      <c r="J155" s="79">
        <v>43</v>
      </c>
      <c r="K155" s="79">
        <f>J155*392500</f>
        <v>16877500</v>
      </c>
    </row>
    <row r="156" spans="1:11" ht="12.75">
      <c r="A156" s="73" t="str">
        <f t="shared" si="2"/>
        <v>29/10/2020</v>
      </c>
      <c r="B156" s="75"/>
      <c r="C156" s="74"/>
      <c r="D156" s="74" t="s">
        <v>546</v>
      </c>
      <c r="E156" s="75" t="s">
        <v>667</v>
      </c>
      <c r="F156" s="76" t="s">
        <v>934</v>
      </c>
      <c r="G156" s="74" t="s">
        <v>1036</v>
      </c>
      <c r="H156" s="78" t="s">
        <v>374</v>
      </c>
      <c r="I156" s="78" t="s">
        <v>15</v>
      </c>
      <c r="J156" s="79">
        <v>43</v>
      </c>
      <c r="K156" s="79">
        <f>43*520000</f>
        <v>22360000</v>
      </c>
    </row>
    <row r="157" spans="1:11" ht="12.75">
      <c r="A157" s="73" t="str">
        <f t="shared" si="2"/>
        <v>29/10/2020</v>
      </c>
      <c r="B157" s="75"/>
      <c r="C157" s="74"/>
      <c r="D157" s="74" t="s">
        <v>547</v>
      </c>
      <c r="E157" s="75" t="s">
        <v>667</v>
      </c>
      <c r="F157" s="76" t="s">
        <v>934</v>
      </c>
      <c r="G157" s="74" t="s">
        <v>973</v>
      </c>
      <c r="H157" s="78" t="s">
        <v>374</v>
      </c>
      <c r="I157" s="78" t="s">
        <v>194</v>
      </c>
      <c r="J157" s="79"/>
      <c r="K157" s="79">
        <f>K156*0.1</f>
        <v>2236000</v>
      </c>
    </row>
    <row r="158" spans="1:11" ht="12.75">
      <c r="A158" s="73" t="str">
        <f t="shared" si="2"/>
        <v>29/10/2020</v>
      </c>
      <c r="B158" s="74"/>
      <c r="C158" s="75"/>
      <c r="D158" s="74" t="s">
        <v>548</v>
      </c>
      <c r="E158" s="74" t="s">
        <v>700</v>
      </c>
      <c r="F158" s="76" t="s">
        <v>934</v>
      </c>
      <c r="G158" s="74" t="s">
        <v>1034</v>
      </c>
      <c r="H158" s="78" t="s">
        <v>347</v>
      </c>
      <c r="I158" s="78" t="s">
        <v>364</v>
      </c>
      <c r="J158" s="79"/>
      <c r="K158" s="79">
        <v>120000000</v>
      </c>
    </row>
    <row r="159" spans="1:11" ht="12.75">
      <c r="A159" s="73" t="str">
        <f t="shared" si="2"/>
        <v>29/10/2020</v>
      </c>
      <c r="B159" s="75"/>
      <c r="C159" s="75"/>
      <c r="D159" s="74" t="s">
        <v>549</v>
      </c>
      <c r="E159" s="74" t="s">
        <v>701</v>
      </c>
      <c r="F159" s="76" t="s">
        <v>934</v>
      </c>
      <c r="G159" s="74" t="s">
        <v>1053</v>
      </c>
      <c r="H159" s="78" t="s">
        <v>414</v>
      </c>
      <c r="I159" s="78" t="s">
        <v>408</v>
      </c>
      <c r="J159" s="79"/>
      <c r="K159" s="79">
        <v>12500000</v>
      </c>
    </row>
    <row r="160" spans="1:11" ht="12.75">
      <c r="A160" s="73" t="str">
        <f t="shared" si="2"/>
        <v>29/10/2020</v>
      </c>
      <c r="B160" s="75"/>
      <c r="C160" s="75"/>
      <c r="D160" s="74" t="s">
        <v>549</v>
      </c>
      <c r="E160" s="74" t="s">
        <v>702</v>
      </c>
      <c r="F160" s="76" t="s">
        <v>934</v>
      </c>
      <c r="G160" s="74" t="s">
        <v>1054</v>
      </c>
      <c r="H160" s="78" t="s">
        <v>101</v>
      </c>
      <c r="I160" s="78" t="s">
        <v>408</v>
      </c>
      <c r="J160" s="79"/>
      <c r="K160" s="79">
        <v>29500000</v>
      </c>
    </row>
    <row r="161" spans="1:11" ht="12.75">
      <c r="A161" s="73" t="str">
        <f t="shared" si="2"/>
        <v>29/10/2020</v>
      </c>
      <c r="B161" s="74" t="s">
        <v>312</v>
      </c>
      <c r="C161" s="75"/>
      <c r="D161" s="75"/>
      <c r="E161" s="75" t="s">
        <v>668</v>
      </c>
      <c r="F161" s="76" t="s">
        <v>934</v>
      </c>
      <c r="G161" s="74" t="s">
        <v>1055</v>
      </c>
      <c r="H161" s="78" t="s">
        <v>344</v>
      </c>
      <c r="I161" s="78" t="s">
        <v>402</v>
      </c>
      <c r="J161" s="79"/>
      <c r="K161" s="79">
        <v>2000000</v>
      </c>
    </row>
    <row r="162" spans="1:11" ht="12.75">
      <c r="A162" s="73" t="str">
        <f t="shared" si="2"/>
        <v>29/10/2020</v>
      </c>
      <c r="B162" s="75"/>
      <c r="C162" s="75"/>
      <c r="D162" s="74" t="s">
        <v>550</v>
      </c>
      <c r="E162" s="74" t="s">
        <v>669</v>
      </c>
      <c r="F162" s="76" t="s">
        <v>934</v>
      </c>
      <c r="G162" s="74" t="s">
        <v>1056</v>
      </c>
      <c r="H162" s="78" t="s">
        <v>386</v>
      </c>
      <c r="I162" s="78" t="s">
        <v>99</v>
      </c>
      <c r="J162" s="81"/>
      <c r="K162" s="81">
        <v>1200000</v>
      </c>
    </row>
    <row r="163" spans="1:11" ht="12.75">
      <c r="A163" s="73" t="str">
        <f t="shared" si="2"/>
        <v>29/10/2020</v>
      </c>
      <c r="B163" s="75"/>
      <c r="C163" s="74"/>
      <c r="D163" s="74" t="s">
        <v>703</v>
      </c>
      <c r="E163" s="74" t="s">
        <v>704</v>
      </c>
      <c r="F163" s="76" t="s">
        <v>934</v>
      </c>
      <c r="G163" s="74" t="s">
        <v>1057</v>
      </c>
      <c r="H163" s="80" t="s">
        <v>396</v>
      </c>
      <c r="I163" s="78" t="s">
        <v>394</v>
      </c>
      <c r="J163" s="79"/>
      <c r="K163" s="79">
        <v>1000000</v>
      </c>
    </row>
    <row r="164" spans="1:11" ht="12.75">
      <c r="A164" s="73" t="str">
        <f t="shared" si="2"/>
        <v>29/10/2020</v>
      </c>
      <c r="B164" s="75"/>
      <c r="C164" s="74" t="s">
        <v>306</v>
      </c>
      <c r="D164" s="74"/>
      <c r="E164" s="75"/>
      <c r="F164" s="76" t="s">
        <v>934</v>
      </c>
      <c r="G164" s="74" t="s">
        <v>1042</v>
      </c>
      <c r="H164" s="78" t="s">
        <v>27</v>
      </c>
      <c r="I164" s="80" t="s">
        <v>397</v>
      </c>
      <c r="J164" s="79">
        <v>10000</v>
      </c>
      <c r="K164" s="79">
        <f>J164*10651</f>
        <v>106510000</v>
      </c>
    </row>
    <row r="165" spans="1:11" ht="12.75">
      <c r="A165" s="73" t="str">
        <f t="shared" si="2"/>
        <v>29/10/2020</v>
      </c>
      <c r="B165" s="75"/>
      <c r="C165" s="74" t="s">
        <v>306</v>
      </c>
      <c r="D165" s="74"/>
      <c r="E165" s="75"/>
      <c r="F165" s="76" t="s">
        <v>934</v>
      </c>
      <c r="G165" s="74" t="s">
        <v>1041</v>
      </c>
      <c r="H165" s="78" t="s">
        <v>29</v>
      </c>
      <c r="I165" s="78" t="s">
        <v>397</v>
      </c>
      <c r="J165" s="79">
        <v>1275</v>
      </c>
      <c r="K165" s="79">
        <f>J165*10651</f>
        <v>13580025</v>
      </c>
    </row>
    <row r="166" spans="1:11" ht="12.75">
      <c r="A166" s="73" t="str">
        <f t="shared" si="2"/>
        <v>29/10/2020</v>
      </c>
      <c r="B166" s="75"/>
      <c r="C166" s="74" t="s">
        <v>306</v>
      </c>
      <c r="D166" s="74"/>
      <c r="E166" s="75"/>
      <c r="F166" s="76" t="s">
        <v>934</v>
      </c>
      <c r="G166" s="74" t="s">
        <v>1042</v>
      </c>
      <c r="H166" s="78" t="s">
        <v>38</v>
      </c>
      <c r="I166" s="78" t="s">
        <v>397</v>
      </c>
      <c r="J166" s="79">
        <v>510</v>
      </c>
      <c r="K166" s="79">
        <f>J166*10651</f>
        <v>5432010</v>
      </c>
    </row>
    <row r="167" spans="1:11" ht="12.75">
      <c r="A167" s="73" t="str">
        <f t="shared" si="2"/>
        <v>29/10/2020</v>
      </c>
      <c r="B167" s="75"/>
      <c r="C167" s="74" t="s">
        <v>306</v>
      </c>
      <c r="D167" s="74"/>
      <c r="E167" s="75"/>
      <c r="F167" s="76" t="s">
        <v>934</v>
      </c>
      <c r="G167" s="74" t="s">
        <v>1043</v>
      </c>
      <c r="H167" s="78" t="s">
        <v>40</v>
      </c>
      <c r="I167" s="78" t="s">
        <v>397</v>
      </c>
      <c r="J167" s="79">
        <v>1275</v>
      </c>
      <c r="K167" s="79">
        <f>J167*10651</f>
        <v>13580025</v>
      </c>
    </row>
    <row r="168" spans="1:11" ht="12.75">
      <c r="A168" s="73" t="str">
        <f t="shared" si="2"/>
        <v>29/10/2020</v>
      </c>
      <c r="B168" s="75"/>
      <c r="C168" s="74" t="s">
        <v>306</v>
      </c>
      <c r="D168" s="74"/>
      <c r="E168" s="75"/>
      <c r="F168" s="76" t="s">
        <v>934</v>
      </c>
      <c r="G168" s="74" t="s">
        <v>1020</v>
      </c>
      <c r="H168" s="78" t="s">
        <v>70</v>
      </c>
      <c r="I168" s="78" t="s">
        <v>397</v>
      </c>
      <c r="J168" s="79">
        <v>340</v>
      </c>
      <c r="K168" s="79">
        <f>J168*10651</f>
        <v>3621340</v>
      </c>
    </row>
    <row r="169" spans="1:11" ht="12.75">
      <c r="A169" s="73" t="str">
        <f t="shared" si="2"/>
        <v>29/10/2020</v>
      </c>
      <c r="B169" s="75"/>
      <c r="C169" s="74" t="s">
        <v>307</v>
      </c>
      <c r="D169" s="74"/>
      <c r="E169" s="75"/>
      <c r="F169" s="76" t="s">
        <v>934</v>
      </c>
      <c r="G169" s="74" t="s">
        <v>1045</v>
      </c>
      <c r="H169" s="78" t="s">
        <v>38</v>
      </c>
      <c r="I169" s="80" t="s">
        <v>399</v>
      </c>
      <c r="J169" s="79">
        <v>248</v>
      </c>
      <c r="K169" s="79">
        <f>J169*16371</f>
        <v>4060008</v>
      </c>
    </row>
    <row r="170" spans="1:11" ht="12.75">
      <c r="A170" s="73" t="str">
        <f t="shared" si="2"/>
        <v>29/10/2020</v>
      </c>
      <c r="B170" s="75"/>
      <c r="C170" s="74" t="s">
        <v>307</v>
      </c>
      <c r="D170" s="74"/>
      <c r="E170" s="75"/>
      <c r="F170" s="76" t="s">
        <v>934</v>
      </c>
      <c r="G170" s="74" t="s">
        <v>1046</v>
      </c>
      <c r="H170" s="78" t="s">
        <v>40</v>
      </c>
      <c r="I170" s="80" t="s">
        <v>399</v>
      </c>
      <c r="J170" s="79">
        <v>26</v>
      </c>
      <c r="K170" s="79">
        <f>J170*16371</f>
        <v>425646</v>
      </c>
    </row>
    <row r="171" spans="1:11" ht="12.75">
      <c r="A171" s="73" t="str">
        <f t="shared" si="2"/>
        <v>29/10/2020</v>
      </c>
      <c r="B171" s="75"/>
      <c r="C171" s="74" t="s">
        <v>307</v>
      </c>
      <c r="D171" s="74"/>
      <c r="E171" s="75"/>
      <c r="F171" s="76" t="s">
        <v>934</v>
      </c>
      <c r="G171" s="74" t="s">
        <v>1058</v>
      </c>
      <c r="H171" s="78" t="s">
        <v>84</v>
      </c>
      <c r="I171" s="80" t="s">
        <v>399</v>
      </c>
      <c r="J171" s="79">
        <v>33</v>
      </c>
      <c r="K171" s="79">
        <f>J171*16371</f>
        <v>540243</v>
      </c>
    </row>
    <row r="172" spans="1:11" ht="12.75">
      <c r="A172" s="73" t="str">
        <f t="shared" si="2"/>
        <v>29/10/2020</v>
      </c>
      <c r="B172" s="74"/>
      <c r="C172" s="75"/>
      <c r="D172" s="74" t="s">
        <v>551</v>
      </c>
      <c r="E172" s="75" t="s">
        <v>670</v>
      </c>
      <c r="F172" s="76" t="s">
        <v>934</v>
      </c>
      <c r="G172" s="74" t="s">
        <v>1059</v>
      </c>
      <c r="H172" s="78" t="s">
        <v>810</v>
      </c>
      <c r="I172" s="78" t="s">
        <v>347</v>
      </c>
      <c r="J172" s="79"/>
      <c r="K172" s="79">
        <v>5000000</v>
      </c>
    </row>
    <row r="173" spans="1:11" ht="12.75">
      <c r="A173" s="73" t="str">
        <f t="shared" si="2"/>
        <v>29/10/2020</v>
      </c>
      <c r="B173" s="75"/>
      <c r="C173" s="75"/>
      <c r="D173" s="74" t="s">
        <v>552</v>
      </c>
      <c r="E173" s="75" t="s">
        <v>671</v>
      </c>
      <c r="F173" s="76" t="s">
        <v>934</v>
      </c>
      <c r="G173" s="74" t="s">
        <v>1060</v>
      </c>
      <c r="H173" s="78" t="s">
        <v>86</v>
      </c>
      <c r="I173" s="78" t="s">
        <v>810</v>
      </c>
      <c r="J173" s="79"/>
      <c r="K173" s="79">
        <f>K172/2</f>
        <v>2500000</v>
      </c>
    </row>
    <row r="174" spans="1:11" ht="12.75">
      <c r="A174" s="73" t="str">
        <f t="shared" si="2"/>
        <v>29/10/2020</v>
      </c>
      <c r="B174" s="74"/>
      <c r="C174" s="75"/>
      <c r="D174" s="74" t="s">
        <v>553</v>
      </c>
      <c r="E174" s="75" t="s">
        <v>672</v>
      </c>
      <c r="F174" s="76" t="s">
        <v>934</v>
      </c>
      <c r="G174" s="74" t="s">
        <v>1061</v>
      </c>
      <c r="H174" s="78" t="s">
        <v>436</v>
      </c>
      <c r="I174" s="78" t="s">
        <v>347</v>
      </c>
      <c r="J174" s="79"/>
      <c r="K174" s="79">
        <v>52000000</v>
      </c>
    </row>
    <row r="175" spans="1:11" ht="12.75">
      <c r="A175" s="73" t="str">
        <f t="shared" si="2"/>
        <v>29/10/2020</v>
      </c>
      <c r="B175" s="74"/>
      <c r="C175" s="75"/>
      <c r="D175" s="74" t="s">
        <v>554</v>
      </c>
      <c r="E175" s="75" t="s">
        <v>673</v>
      </c>
      <c r="F175" s="76" t="s">
        <v>934</v>
      </c>
      <c r="G175" s="74" t="s">
        <v>1062</v>
      </c>
      <c r="H175" s="78" t="s">
        <v>440</v>
      </c>
      <c r="I175" s="78" t="s">
        <v>347</v>
      </c>
      <c r="J175" s="79"/>
      <c r="K175" s="79">
        <v>90000000</v>
      </c>
    </row>
    <row r="176" spans="1:11" ht="12.75">
      <c r="A176" s="73" t="str">
        <f t="shared" si="2"/>
        <v>29/10/2020</v>
      </c>
      <c r="B176" s="75"/>
      <c r="C176" s="74" t="s">
        <v>314</v>
      </c>
      <c r="D176" s="74"/>
      <c r="E176" s="75"/>
      <c r="F176" s="76" t="s">
        <v>934</v>
      </c>
      <c r="G176" s="74" t="s">
        <v>1063</v>
      </c>
      <c r="H176" s="78" t="s">
        <v>405</v>
      </c>
      <c r="I176" s="78" t="s">
        <v>402</v>
      </c>
      <c r="J176" s="79">
        <v>500</v>
      </c>
      <c r="K176" s="79">
        <f>500*390500</f>
        <v>195250000</v>
      </c>
    </row>
    <row r="177" spans="1:11" ht="12.75">
      <c r="A177" s="73" t="str">
        <f t="shared" si="2"/>
        <v>29/10/2020</v>
      </c>
      <c r="B177" s="75"/>
      <c r="C177" s="74" t="s">
        <v>315</v>
      </c>
      <c r="D177" s="74"/>
      <c r="E177" s="75"/>
      <c r="F177" s="76" t="s">
        <v>934</v>
      </c>
      <c r="G177" s="74" t="s">
        <v>1064</v>
      </c>
      <c r="H177" s="78" t="s">
        <v>62</v>
      </c>
      <c r="I177" s="78" t="s">
        <v>405</v>
      </c>
      <c r="J177" s="79">
        <v>166</v>
      </c>
      <c r="K177" s="79">
        <f>J177*392500</f>
        <v>65155000</v>
      </c>
    </row>
    <row r="178" spans="1:11" ht="12.75">
      <c r="A178" s="73" t="str">
        <f t="shared" si="2"/>
        <v>29/10/2020</v>
      </c>
      <c r="B178" s="75"/>
      <c r="C178" s="74"/>
      <c r="D178" s="74" t="s">
        <v>555</v>
      </c>
      <c r="E178" s="75" t="s">
        <v>674</v>
      </c>
      <c r="F178" s="76" t="s">
        <v>934</v>
      </c>
      <c r="G178" s="74" t="s">
        <v>1065</v>
      </c>
      <c r="H178" s="78" t="s">
        <v>374</v>
      </c>
      <c r="I178" s="78" t="s">
        <v>15</v>
      </c>
      <c r="J178" s="79">
        <v>166</v>
      </c>
      <c r="K178" s="79">
        <f>166*510000</f>
        <v>84660000</v>
      </c>
    </row>
    <row r="179" spans="1:11" ht="12.75">
      <c r="A179" s="73" t="str">
        <f t="shared" si="2"/>
        <v>29/10/2020</v>
      </c>
      <c r="B179" s="75"/>
      <c r="C179" s="74"/>
      <c r="D179" s="74" t="s">
        <v>556</v>
      </c>
      <c r="E179" s="75" t="s">
        <v>674</v>
      </c>
      <c r="F179" s="76" t="s">
        <v>934</v>
      </c>
      <c r="G179" s="74" t="s">
        <v>973</v>
      </c>
      <c r="H179" s="78" t="s">
        <v>374</v>
      </c>
      <c r="I179" s="78" t="s">
        <v>194</v>
      </c>
      <c r="J179" s="79"/>
      <c r="K179" s="79">
        <f>K178*0.1</f>
        <v>8466000</v>
      </c>
    </row>
    <row r="180" spans="1:11" ht="12.75">
      <c r="A180" s="73" t="str">
        <f t="shared" si="2"/>
        <v>29/10/2020</v>
      </c>
      <c r="B180" s="75"/>
      <c r="C180" s="75"/>
      <c r="D180" s="74" t="s">
        <v>557</v>
      </c>
      <c r="E180" s="75" t="s">
        <v>675</v>
      </c>
      <c r="F180" s="76" t="s">
        <v>934</v>
      </c>
      <c r="G180" s="74" t="s">
        <v>1066</v>
      </c>
      <c r="H180" s="78" t="s">
        <v>743</v>
      </c>
      <c r="I180" s="78" t="s">
        <v>442</v>
      </c>
      <c r="J180" s="79"/>
      <c r="K180" s="79">
        <v>30000000</v>
      </c>
    </row>
    <row r="181" spans="1:11" ht="12.75">
      <c r="A181" s="73" t="str">
        <f t="shared" si="2"/>
        <v>29/10/2020</v>
      </c>
      <c r="B181" s="75"/>
      <c r="C181" s="75"/>
      <c r="D181" s="74" t="s">
        <v>557</v>
      </c>
      <c r="E181" s="75" t="s">
        <v>675</v>
      </c>
      <c r="F181" s="76" t="s">
        <v>934</v>
      </c>
      <c r="G181" s="74" t="s">
        <v>1067</v>
      </c>
      <c r="H181" s="78" t="s">
        <v>375</v>
      </c>
      <c r="I181" s="78" t="s">
        <v>442</v>
      </c>
      <c r="J181" s="79"/>
      <c r="K181" s="79">
        <v>3000000</v>
      </c>
    </row>
    <row r="182" spans="1:11" ht="12.75">
      <c r="A182" s="73" t="str">
        <f t="shared" si="2"/>
        <v>29/10/2020</v>
      </c>
      <c r="B182" s="75"/>
      <c r="C182" s="75"/>
      <c r="D182" s="74" t="s">
        <v>558</v>
      </c>
      <c r="E182" s="75" t="s">
        <v>676</v>
      </c>
      <c r="F182" s="76" t="s">
        <v>934</v>
      </c>
      <c r="G182" s="74" t="s">
        <v>1068</v>
      </c>
      <c r="H182" s="78" t="s">
        <v>96</v>
      </c>
      <c r="I182" s="78" t="s">
        <v>394</v>
      </c>
      <c r="J182" s="79"/>
      <c r="K182" s="79">
        <v>600000</v>
      </c>
    </row>
    <row r="183" spans="1:11" ht="12.75">
      <c r="A183" s="73" t="str">
        <f t="shared" si="2"/>
        <v>29/10/2020</v>
      </c>
      <c r="B183" s="75"/>
      <c r="C183" s="74" t="s">
        <v>313</v>
      </c>
      <c r="D183" s="74" t="s">
        <v>558</v>
      </c>
      <c r="E183" s="75" t="s">
        <v>677</v>
      </c>
      <c r="F183" s="76" t="s">
        <v>934</v>
      </c>
      <c r="G183" s="74" t="s">
        <v>1069</v>
      </c>
      <c r="H183" s="80" t="s">
        <v>400</v>
      </c>
      <c r="I183" s="78" t="s">
        <v>394</v>
      </c>
      <c r="J183" s="79">
        <v>67</v>
      </c>
      <c r="K183" s="79">
        <f>67*2240</f>
        <v>150080</v>
      </c>
    </row>
    <row r="184" spans="1:11" ht="12.75">
      <c r="A184" s="73" t="str">
        <f t="shared" si="2"/>
        <v>29/10/2020</v>
      </c>
      <c r="B184" s="75"/>
      <c r="C184" s="74" t="s">
        <v>308</v>
      </c>
      <c r="D184" s="74"/>
      <c r="E184" s="75"/>
      <c r="F184" s="76" t="s">
        <v>934</v>
      </c>
      <c r="G184" s="74" t="s">
        <v>1048</v>
      </c>
      <c r="H184" s="78" t="s">
        <v>38</v>
      </c>
      <c r="I184" s="80" t="s">
        <v>400</v>
      </c>
      <c r="J184" s="79">
        <v>340</v>
      </c>
      <c r="K184" s="79">
        <f>J184*2140</f>
        <v>727600</v>
      </c>
    </row>
    <row r="185" spans="1:11" ht="12.75">
      <c r="A185" s="73" t="str">
        <f t="shared" si="2"/>
        <v>29/10/2020</v>
      </c>
      <c r="B185" s="75"/>
      <c r="C185" s="74" t="s">
        <v>308</v>
      </c>
      <c r="D185" s="74"/>
      <c r="E185" s="75"/>
      <c r="F185" s="76" t="s">
        <v>934</v>
      </c>
      <c r="G185" s="74" t="s">
        <v>1048</v>
      </c>
      <c r="H185" s="78" t="s">
        <v>40</v>
      </c>
      <c r="I185" s="80" t="s">
        <v>400</v>
      </c>
      <c r="J185" s="79">
        <v>68</v>
      </c>
      <c r="K185" s="79">
        <f>J185*2140</f>
        <v>145520</v>
      </c>
    </row>
    <row r="186" spans="1:11" ht="12.75">
      <c r="A186" s="73" t="str">
        <f t="shared" si="2"/>
        <v>29/10/2020</v>
      </c>
      <c r="B186" s="75"/>
      <c r="C186" s="74" t="s">
        <v>308</v>
      </c>
      <c r="D186" s="74"/>
      <c r="E186" s="75"/>
      <c r="F186" s="76" t="s">
        <v>934</v>
      </c>
      <c r="G186" s="74" t="s">
        <v>1048</v>
      </c>
      <c r="H186" s="78" t="s">
        <v>84</v>
      </c>
      <c r="I186" s="80" t="s">
        <v>400</v>
      </c>
      <c r="J186" s="79">
        <v>34</v>
      </c>
      <c r="K186" s="79">
        <f>J186*2140</f>
        <v>72760</v>
      </c>
    </row>
    <row r="187" spans="1:11" ht="12.75">
      <c r="A187" s="73" t="str">
        <f t="shared" si="2"/>
        <v>29/10/2020</v>
      </c>
      <c r="B187" s="74"/>
      <c r="C187" s="75"/>
      <c r="D187" s="74" t="s">
        <v>558</v>
      </c>
      <c r="E187" s="75" t="s">
        <v>678</v>
      </c>
      <c r="F187" s="76" t="s">
        <v>934</v>
      </c>
      <c r="G187" s="74" t="s">
        <v>1070</v>
      </c>
      <c r="H187" s="78" t="s">
        <v>194</v>
      </c>
      <c r="I187" s="78" t="s">
        <v>347</v>
      </c>
      <c r="J187" s="79"/>
      <c r="K187" s="79">
        <v>250000</v>
      </c>
    </row>
    <row r="188" spans="1:11" ht="12.75">
      <c r="A188" s="73" t="str">
        <f t="shared" si="2"/>
        <v>29/10/2020</v>
      </c>
      <c r="B188" s="74"/>
      <c r="C188" s="75"/>
      <c r="D188" s="74" t="s">
        <v>559</v>
      </c>
      <c r="E188" s="75" t="s">
        <v>678</v>
      </c>
      <c r="F188" s="76" t="s">
        <v>934</v>
      </c>
      <c r="G188" s="74" t="s">
        <v>1071</v>
      </c>
      <c r="H188" s="78" t="s">
        <v>457</v>
      </c>
      <c r="I188" s="78" t="s">
        <v>347</v>
      </c>
      <c r="J188" s="79"/>
      <c r="K188" s="79">
        <v>1200000</v>
      </c>
    </row>
    <row r="189" spans="1:11" ht="12.75">
      <c r="A189" s="73" t="str">
        <f t="shared" si="2"/>
        <v>29/10/2020</v>
      </c>
      <c r="B189" s="75"/>
      <c r="C189" s="75"/>
      <c r="D189" s="74" t="s">
        <v>560</v>
      </c>
      <c r="E189" s="75" t="s">
        <v>679</v>
      </c>
      <c r="F189" s="76" t="s">
        <v>934</v>
      </c>
      <c r="G189" s="74" t="s">
        <v>1072</v>
      </c>
      <c r="H189" s="78" t="s">
        <v>96</v>
      </c>
      <c r="I189" s="78" t="s">
        <v>394</v>
      </c>
      <c r="J189" s="79"/>
      <c r="K189" s="79">
        <v>300000</v>
      </c>
    </row>
    <row r="190" spans="1:11" ht="12.75">
      <c r="A190" s="73" t="str">
        <f t="shared" si="2"/>
        <v>30/10/2020</v>
      </c>
      <c r="B190" s="75"/>
      <c r="C190" s="74" t="s">
        <v>317</v>
      </c>
      <c r="D190" s="74"/>
      <c r="E190" s="75"/>
      <c r="F190" s="76" t="s">
        <v>935</v>
      </c>
      <c r="G190" s="74" t="s">
        <v>1073</v>
      </c>
      <c r="H190" s="78" t="s">
        <v>62</v>
      </c>
      <c r="I190" s="78" t="s">
        <v>405</v>
      </c>
      <c r="J190" s="79">
        <v>135</v>
      </c>
      <c r="K190" s="79">
        <f>J190*392500</f>
        <v>52987500</v>
      </c>
    </row>
    <row r="191" spans="1:11" ht="12.75">
      <c r="A191" s="73" t="str">
        <f t="shared" si="2"/>
        <v>30/10/2020</v>
      </c>
      <c r="B191" s="75"/>
      <c r="C191" s="74"/>
      <c r="D191" s="74" t="s">
        <v>561</v>
      </c>
      <c r="E191" s="75" t="s">
        <v>680</v>
      </c>
      <c r="F191" s="76" t="s">
        <v>935</v>
      </c>
      <c r="G191" s="74" t="s">
        <v>1074</v>
      </c>
      <c r="H191" s="78" t="s">
        <v>369</v>
      </c>
      <c r="I191" s="78" t="s">
        <v>15</v>
      </c>
      <c r="J191" s="79">
        <v>135</v>
      </c>
      <c r="K191" s="79">
        <f>135*510000</f>
        <v>68850000</v>
      </c>
    </row>
    <row r="192" spans="1:11" ht="12.75">
      <c r="A192" s="73" t="str">
        <f t="shared" si="2"/>
        <v>30/10/2020</v>
      </c>
      <c r="B192" s="75"/>
      <c r="C192" s="74"/>
      <c r="D192" s="74" t="s">
        <v>561</v>
      </c>
      <c r="E192" s="75" t="s">
        <v>680</v>
      </c>
      <c r="F192" s="76" t="s">
        <v>935</v>
      </c>
      <c r="G192" s="74" t="s">
        <v>973</v>
      </c>
      <c r="H192" s="78" t="s">
        <v>369</v>
      </c>
      <c r="I192" s="78" t="s">
        <v>194</v>
      </c>
      <c r="J192" s="79"/>
      <c r="K192" s="79">
        <f>K191*0.1</f>
        <v>6885000</v>
      </c>
    </row>
    <row r="193" spans="1:11" ht="12.75">
      <c r="A193" s="73" t="str">
        <f t="shared" si="2"/>
        <v>30/10/2020</v>
      </c>
      <c r="B193" s="75"/>
      <c r="C193" s="75"/>
      <c r="D193" s="74" t="s">
        <v>562</v>
      </c>
      <c r="E193" s="74" t="s">
        <v>704</v>
      </c>
      <c r="F193" s="76" t="s">
        <v>935</v>
      </c>
      <c r="G193" s="74" t="s">
        <v>1068</v>
      </c>
      <c r="H193" s="78" t="s">
        <v>96</v>
      </c>
      <c r="I193" s="78" t="s">
        <v>394</v>
      </c>
      <c r="J193" s="79"/>
      <c r="K193" s="79">
        <v>450000</v>
      </c>
    </row>
    <row r="194" spans="1:11" ht="12.75">
      <c r="A194" s="73" t="str">
        <f t="shared" si="2"/>
        <v>30/10/2020</v>
      </c>
      <c r="B194" s="75"/>
      <c r="C194" s="74" t="s">
        <v>318</v>
      </c>
      <c r="D194" s="74"/>
      <c r="E194" s="75"/>
      <c r="F194" s="76" t="s">
        <v>935</v>
      </c>
      <c r="G194" s="74" t="s">
        <v>1075</v>
      </c>
      <c r="H194" s="78" t="s">
        <v>62</v>
      </c>
      <c r="I194" s="78" t="s">
        <v>405</v>
      </c>
      <c r="J194" s="79">
        <v>130</v>
      </c>
      <c r="K194" s="79">
        <f>J194*392500</f>
        <v>51025000</v>
      </c>
    </row>
    <row r="195" spans="1:11" ht="12.75">
      <c r="A195" s="73" t="str">
        <f t="shared" si="2"/>
        <v>30/10/2020</v>
      </c>
      <c r="B195" s="75"/>
      <c r="C195" s="74"/>
      <c r="D195" s="74" t="s">
        <v>563</v>
      </c>
      <c r="E195" s="75" t="s">
        <v>681</v>
      </c>
      <c r="F195" s="76" t="s">
        <v>935</v>
      </c>
      <c r="G195" s="74" t="s">
        <v>1076</v>
      </c>
      <c r="H195" s="78" t="s">
        <v>374</v>
      </c>
      <c r="I195" s="78" t="s">
        <v>15</v>
      </c>
      <c r="J195" s="79">
        <v>130</v>
      </c>
      <c r="K195" s="79">
        <f>130*510000</f>
        <v>66300000</v>
      </c>
    </row>
    <row r="196" spans="1:11" ht="12.75">
      <c r="A196" s="73" t="str">
        <f t="shared" si="2"/>
        <v>30/10/2020</v>
      </c>
      <c r="B196" s="75"/>
      <c r="C196" s="74"/>
      <c r="D196" s="74" t="s">
        <v>563</v>
      </c>
      <c r="E196" s="75" t="s">
        <v>681</v>
      </c>
      <c r="F196" s="76" t="s">
        <v>935</v>
      </c>
      <c r="G196" s="74" t="s">
        <v>973</v>
      </c>
      <c r="H196" s="78" t="s">
        <v>374</v>
      </c>
      <c r="I196" s="78" t="s">
        <v>194</v>
      </c>
      <c r="J196" s="79"/>
      <c r="K196" s="79">
        <f>K195*0.1</f>
        <v>6630000</v>
      </c>
    </row>
    <row r="197" spans="1:11" ht="12.75">
      <c r="A197" s="73" t="str">
        <f t="shared" si="2"/>
        <v>30/10/2020</v>
      </c>
      <c r="B197" s="75"/>
      <c r="C197" s="75"/>
      <c r="D197" s="74" t="s">
        <v>564</v>
      </c>
      <c r="E197" s="75" t="s">
        <v>682</v>
      </c>
      <c r="F197" s="76" t="s">
        <v>935</v>
      </c>
      <c r="G197" s="74" t="s">
        <v>1077</v>
      </c>
      <c r="H197" s="78" t="s">
        <v>6</v>
      </c>
      <c r="I197" s="78" t="s">
        <v>478</v>
      </c>
      <c r="J197" s="79"/>
      <c r="K197" s="79">
        <v>35000000</v>
      </c>
    </row>
    <row r="198" spans="1:11" ht="12.75">
      <c r="A198" s="73" t="str">
        <f t="shared" si="2"/>
        <v>30/10/2020</v>
      </c>
      <c r="B198" s="75"/>
      <c r="C198" s="75"/>
      <c r="D198" s="74" t="s">
        <v>565</v>
      </c>
      <c r="E198" s="75" t="s">
        <v>683</v>
      </c>
      <c r="F198" s="76" t="s">
        <v>935</v>
      </c>
      <c r="G198" s="74" t="s">
        <v>1078</v>
      </c>
      <c r="H198" s="78" t="s">
        <v>1</v>
      </c>
      <c r="I198" s="78" t="s">
        <v>478</v>
      </c>
      <c r="J198" s="79"/>
      <c r="K198" s="79">
        <v>40000000</v>
      </c>
    </row>
    <row r="199" spans="1:11" ht="12.75">
      <c r="A199" s="73" t="str">
        <f aca="true" t="shared" si="4" ref="A199:A262">F199</f>
        <v>30/10/2020</v>
      </c>
      <c r="B199" s="75"/>
      <c r="C199" s="74" t="s">
        <v>316</v>
      </c>
      <c r="D199" s="74" t="s">
        <v>566</v>
      </c>
      <c r="E199" s="75" t="s">
        <v>684</v>
      </c>
      <c r="F199" s="76" t="s">
        <v>935</v>
      </c>
      <c r="G199" s="74" t="s">
        <v>1079</v>
      </c>
      <c r="H199" s="80" t="s">
        <v>396</v>
      </c>
      <c r="I199" s="78" t="s">
        <v>449</v>
      </c>
      <c r="J199" s="79">
        <v>1000</v>
      </c>
      <c r="K199" s="79">
        <f>1000*19300</f>
        <v>19300000</v>
      </c>
    </row>
    <row r="200" spans="1:11" ht="12.75">
      <c r="A200" s="73" t="str">
        <f t="shared" si="4"/>
        <v>30/10/2020</v>
      </c>
      <c r="B200" s="74"/>
      <c r="C200" s="74"/>
      <c r="D200" s="74" t="s">
        <v>566</v>
      </c>
      <c r="E200" s="75" t="s">
        <v>684</v>
      </c>
      <c r="F200" s="76" t="s">
        <v>935</v>
      </c>
      <c r="G200" s="74" t="s">
        <v>1080</v>
      </c>
      <c r="H200" s="80" t="s">
        <v>396</v>
      </c>
      <c r="I200" s="78" t="s">
        <v>455</v>
      </c>
      <c r="J200" s="79"/>
      <c r="K200" s="79">
        <f>K199*0.05</f>
        <v>965000</v>
      </c>
    </row>
    <row r="201" spans="1:11" ht="12.75">
      <c r="A201" s="73" t="str">
        <f t="shared" si="4"/>
        <v>30/10/2020</v>
      </c>
      <c r="B201" s="74"/>
      <c r="C201" s="74"/>
      <c r="D201" s="74" t="s">
        <v>566</v>
      </c>
      <c r="E201" s="75" t="s">
        <v>684</v>
      </c>
      <c r="F201" s="76" t="s">
        <v>935</v>
      </c>
      <c r="G201" s="74" t="s">
        <v>959</v>
      </c>
      <c r="H201" s="78" t="s">
        <v>375</v>
      </c>
      <c r="I201" s="78" t="s">
        <v>450</v>
      </c>
      <c r="J201" s="79"/>
      <c r="K201" s="79">
        <f>(K199+K200)*0.1</f>
        <v>2026500</v>
      </c>
    </row>
    <row r="202" spans="1:11" ht="12.75">
      <c r="A202" s="73" t="str">
        <f t="shared" si="4"/>
        <v>30/10/2020</v>
      </c>
      <c r="B202" s="74"/>
      <c r="C202" s="75"/>
      <c r="D202" s="74" t="s">
        <v>567</v>
      </c>
      <c r="E202" s="74" t="s">
        <v>706</v>
      </c>
      <c r="F202" s="76" t="s">
        <v>935</v>
      </c>
      <c r="G202" s="74" t="s">
        <v>1081</v>
      </c>
      <c r="H202" s="78" t="s">
        <v>438</v>
      </c>
      <c r="I202" s="78" t="s">
        <v>347</v>
      </c>
      <c r="J202" s="79"/>
      <c r="K202" s="79">
        <v>40000000</v>
      </c>
    </row>
    <row r="203" spans="1:11" ht="12.75">
      <c r="A203" s="73" t="str">
        <f t="shared" si="4"/>
        <v>30/10/2020</v>
      </c>
      <c r="B203" s="74"/>
      <c r="C203" s="75"/>
      <c r="D203" s="74" t="s">
        <v>568</v>
      </c>
      <c r="E203" s="74" t="s">
        <v>707</v>
      </c>
      <c r="F203" s="76" t="s">
        <v>935</v>
      </c>
      <c r="G203" s="74" t="s">
        <v>1082</v>
      </c>
      <c r="H203" s="78" t="s">
        <v>437</v>
      </c>
      <c r="I203" s="78" t="s">
        <v>347</v>
      </c>
      <c r="J203" s="79"/>
      <c r="K203" s="79">
        <v>9700000</v>
      </c>
    </row>
    <row r="204" spans="1:11" ht="12.75">
      <c r="A204" s="73" t="str">
        <f t="shared" si="4"/>
        <v>30/10/2020</v>
      </c>
      <c r="B204" s="74"/>
      <c r="C204" s="75"/>
      <c r="D204" s="74" t="s">
        <v>569</v>
      </c>
      <c r="E204" s="74" t="s">
        <v>708</v>
      </c>
      <c r="F204" s="76" t="s">
        <v>935</v>
      </c>
      <c r="G204" s="74" t="s">
        <v>1083</v>
      </c>
      <c r="H204" s="78" t="s">
        <v>94</v>
      </c>
      <c r="I204" s="78" t="s">
        <v>347</v>
      </c>
      <c r="J204" s="79"/>
      <c r="K204" s="79">
        <v>3700000</v>
      </c>
    </row>
    <row r="205" spans="1:11" ht="12.75">
      <c r="A205" s="73" t="str">
        <f t="shared" si="4"/>
        <v>30/10/2020</v>
      </c>
      <c r="B205" s="74"/>
      <c r="C205" s="75"/>
      <c r="D205" s="74" t="s">
        <v>569</v>
      </c>
      <c r="E205" s="74" t="s">
        <v>708</v>
      </c>
      <c r="F205" s="76" t="s">
        <v>935</v>
      </c>
      <c r="G205" s="74" t="s">
        <v>1025</v>
      </c>
      <c r="H205" s="78" t="s">
        <v>375</v>
      </c>
      <c r="I205" s="78" t="s">
        <v>347</v>
      </c>
      <c r="J205" s="79"/>
      <c r="K205" s="79">
        <f>K204*0.1</f>
        <v>370000</v>
      </c>
    </row>
    <row r="206" spans="1:11" ht="12.75">
      <c r="A206" s="73" t="str">
        <f t="shared" si="4"/>
        <v>30/10/2020</v>
      </c>
      <c r="B206" s="74"/>
      <c r="C206" s="75"/>
      <c r="D206" s="74" t="s">
        <v>570</v>
      </c>
      <c r="E206" s="74" t="s">
        <v>709</v>
      </c>
      <c r="F206" s="76" t="s">
        <v>935</v>
      </c>
      <c r="G206" s="74" t="s">
        <v>1084</v>
      </c>
      <c r="H206" s="78" t="s">
        <v>747</v>
      </c>
      <c r="I206" s="78" t="s">
        <v>347</v>
      </c>
      <c r="J206" s="79"/>
      <c r="K206" s="79">
        <v>150000000</v>
      </c>
    </row>
    <row r="207" spans="1:11" ht="12.75">
      <c r="A207" s="73" t="str">
        <f t="shared" si="4"/>
        <v>30/10/2020</v>
      </c>
      <c r="B207" s="74"/>
      <c r="C207" s="75"/>
      <c r="D207" s="74" t="s">
        <v>570</v>
      </c>
      <c r="E207" s="74" t="s">
        <v>709</v>
      </c>
      <c r="F207" s="76" t="s">
        <v>935</v>
      </c>
      <c r="G207" s="74" t="s">
        <v>1085</v>
      </c>
      <c r="H207" s="78" t="s">
        <v>64</v>
      </c>
      <c r="I207" s="78" t="s">
        <v>347</v>
      </c>
      <c r="J207" s="79"/>
      <c r="K207" s="79">
        <v>1400000</v>
      </c>
    </row>
    <row r="208" spans="1:11" ht="12.75">
      <c r="A208" s="73" t="str">
        <f t="shared" si="4"/>
        <v>30/10/2020</v>
      </c>
      <c r="B208" s="74"/>
      <c r="C208" s="75"/>
      <c r="D208" s="74" t="s">
        <v>571</v>
      </c>
      <c r="E208" s="74" t="s">
        <v>710</v>
      </c>
      <c r="F208" s="76" t="s">
        <v>935</v>
      </c>
      <c r="G208" s="74" t="s">
        <v>1086</v>
      </c>
      <c r="H208" s="78" t="s">
        <v>347</v>
      </c>
      <c r="I208" s="78" t="s">
        <v>22</v>
      </c>
      <c r="J208" s="79"/>
      <c r="K208" s="79">
        <v>750000</v>
      </c>
    </row>
    <row r="209" spans="1:11" ht="12.75">
      <c r="A209" s="73" t="str">
        <f t="shared" si="4"/>
        <v>30/10/2020</v>
      </c>
      <c r="B209" s="74"/>
      <c r="C209" s="75"/>
      <c r="D209" s="74" t="s">
        <v>572</v>
      </c>
      <c r="E209" s="74" t="s">
        <v>711</v>
      </c>
      <c r="F209" s="76" t="s">
        <v>935</v>
      </c>
      <c r="G209" s="74" t="s">
        <v>1014</v>
      </c>
      <c r="H209" s="78" t="s">
        <v>347</v>
      </c>
      <c r="I209" s="78" t="s">
        <v>364</v>
      </c>
      <c r="J209" s="79"/>
      <c r="K209" s="79">
        <v>30000000</v>
      </c>
    </row>
    <row r="210" spans="1:11" ht="12.75">
      <c r="A210" s="73" t="str">
        <f t="shared" si="4"/>
        <v>30/10/2020</v>
      </c>
      <c r="B210" s="74"/>
      <c r="C210" s="75"/>
      <c r="D210" s="74" t="s">
        <v>573</v>
      </c>
      <c r="E210" s="74" t="s">
        <v>712</v>
      </c>
      <c r="F210" s="76" t="s">
        <v>935</v>
      </c>
      <c r="G210" s="74" t="s">
        <v>1087</v>
      </c>
      <c r="H210" s="78" t="s">
        <v>347</v>
      </c>
      <c r="I210" s="78" t="s">
        <v>367</v>
      </c>
      <c r="J210" s="79"/>
      <c r="K210" s="79">
        <v>300000</v>
      </c>
    </row>
    <row r="211" spans="1:11" ht="12.75">
      <c r="A211" s="73" t="str">
        <f t="shared" si="4"/>
        <v>30/10/2020</v>
      </c>
      <c r="B211" s="74"/>
      <c r="C211" s="75"/>
      <c r="D211" s="74" t="s">
        <v>574</v>
      </c>
      <c r="E211" s="74" t="s">
        <v>713</v>
      </c>
      <c r="F211" s="76" t="s">
        <v>935</v>
      </c>
      <c r="G211" s="74" t="s">
        <v>1088</v>
      </c>
      <c r="H211" s="78" t="s">
        <v>347</v>
      </c>
      <c r="I211" s="78" t="s">
        <v>23</v>
      </c>
      <c r="J211" s="79"/>
      <c r="K211" s="79">
        <v>600000</v>
      </c>
    </row>
    <row r="212" spans="1:11" ht="12.75">
      <c r="A212" s="73" t="str">
        <f t="shared" si="4"/>
        <v>30/10/2020</v>
      </c>
      <c r="B212" s="74"/>
      <c r="C212" s="75"/>
      <c r="D212" s="74" t="s">
        <v>575</v>
      </c>
      <c r="E212" s="74" t="s">
        <v>714</v>
      </c>
      <c r="F212" s="76" t="s">
        <v>935</v>
      </c>
      <c r="G212" s="74" t="s">
        <v>1089</v>
      </c>
      <c r="H212" s="78" t="s">
        <v>430</v>
      </c>
      <c r="I212" s="78" t="s">
        <v>347</v>
      </c>
      <c r="J212" s="79"/>
      <c r="K212" s="79">
        <v>25000000</v>
      </c>
    </row>
    <row r="213" spans="1:11" ht="12.75">
      <c r="A213" s="73" t="str">
        <f t="shared" si="4"/>
        <v>30/10/2020</v>
      </c>
      <c r="B213" s="74"/>
      <c r="C213" s="75"/>
      <c r="D213" s="74" t="s">
        <v>576</v>
      </c>
      <c r="E213" s="74" t="s">
        <v>715</v>
      </c>
      <c r="F213" s="76" t="s">
        <v>935</v>
      </c>
      <c r="G213" s="74" t="s">
        <v>1090</v>
      </c>
      <c r="H213" s="78" t="s">
        <v>388</v>
      </c>
      <c r="I213" s="78" t="s">
        <v>379</v>
      </c>
      <c r="J213" s="79"/>
      <c r="K213" s="79">
        <v>140000</v>
      </c>
    </row>
    <row r="214" spans="1:11" ht="12.75">
      <c r="A214" s="73" t="str">
        <f t="shared" si="4"/>
        <v>30/10/2020</v>
      </c>
      <c r="B214" s="74"/>
      <c r="C214" s="75"/>
      <c r="D214" s="74" t="s">
        <v>576</v>
      </c>
      <c r="E214" s="74" t="s">
        <v>715</v>
      </c>
      <c r="F214" s="76" t="s">
        <v>935</v>
      </c>
      <c r="G214" s="74" t="s">
        <v>1091</v>
      </c>
      <c r="H214" s="78" t="s">
        <v>62</v>
      </c>
      <c r="I214" s="78" t="s">
        <v>379</v>
      </c>
      <c r="J214" s="79"/>
      <c r="K214" s="79">
        <v>10000</v>
      </c>
    </row>
    <row r="215" spans="1:11" ht="12.75">
      <c r="A215" s="73" t="str">
        <f t="shared" si="4"/>
        <v>30/10/2020</v>
      </c>
      <c r="B215" s="74"/>
      <c r="C215" s="75"/>
      <c r="D215" s="74" t="s">
        <v>577</v>
      </c>
      <c r="E215" s="74" t="s">
        <v>716</v>
      </c>
      <c r="F215" s="76" t="s">
        <v>935</v>
      </c>
      <c r="G215" s="74" t="s">
        <v>1092</v>
      </c>
      <c r="H215" s="78" t="s">
        <v>746</v>
      </c>
      <c r="I215" s="78" t="s">
        <v>747</v>
      </c>
      <c r="J215" s="79"/>
      <c r="K215" s="79">
        <v>30000000</v>
      </c>
    </row>
    <row r="216" spans="1:11" ht="12.75">
      <c r="A216" s="73" t="str">
        <f t="shared" si="4"/>
        <v>30/10/2020</v>
      </c>
      <c r="B216" s="74"/>
      <c r="C216" s="75"/>
      <c r="D216" s="74" t="s">
        <v>578</v>
      </c>
      <c r="E216" s="74" t="s">
        <v>721</v>
      </c>
      <c r="F216" s="76" t="s">
        <v>935</v>
      </c>
      <c r="G216" s="74" t="s">
        <v>1093</v>
      </c>
      <c r="H216" s="78" t="s">
        <v>92</v>
      </c>
      <c r="I216" s="78" t="s">
        <v>741</v>
      </c>
      <c r="J216" s="79"/>
      <c r="K216" s="79">
        <v>5500000</v>
      </c>
    </row>
    <row r="217" spans="1:11" ht="12.75">
      <c r="A217" s="73" t="str">
        <f t="shared" si="4"/>
        <v>30/10/2020</v>
      </c>
      <c r="B217" s="74"/>
      <c r="C217" s="74"/>
      <c r="D217" s="74" t="s">
        <v>579</v>
      </c>
      <c r="E217" s="74" t="s">
        <v>720</v>
      </c>
      <c r="F217" s="76" t="s">
        <v>935</v>
      </c>
      <c r="G217" s="74" t="s">
        <v>1094</v>
      </c>
      <c r="H217" s="78" t="s">
        <v>62</v>
      </c>
      <c r="I217" s="78" t="s">
        <v>736</v>
      </c>
      <c r="J217" s="79"/>
      <c r="K217" s="79">
        <v>16260000</v>
      </c>
    </row>
    <row r="218" spans="1:11" ht="12.75">
      <c r="A218" s="73" t="str">
        <f t="shared" si="4"/>
        <v>30/10/2020</v>
      </c>
      <c r="B218" s="74"/>
      <c r="C218" s="75"/>
      <c r="D218" s="74" t="s">
        <v>580</v>
      </c>
      <c r="E218" s="74" t="s">
        <v>722</v>
      </c>
      <c r="F218" s="76" t="s">
        <v>935</v>
      </c>
      <c r="G218" s="74" t="s">
        <v>1095</v>
      </c>
      <c r="H218" s="78" t="s">
        <v>66</v>
      </c>
      <c r="I218" s="78" t="s">
        <v>737</v>
      </c>
      <c r="J218" s="79"/>
      <c r="K218" s="79">
        <v>5000000</v>
      </c>
    </row>
    <row r="219" spans="1:11" ht="12.75">
      <c r="A219" s="73" t="str">
        <f t="shared" si="4"/>
        <v>30/10/2020</v>
      </c>
      <c r="B219" s="74"/>
      <c r="C219" s="75"/>
      <c r="D219" s="74" t="s">
        <v>581</v>
      </c>
      <c r="E219" s="75" t="s">
        <v>723</v>
      </c>
      <c r="F219" s="76" t="s">
        <v>935</v>
      </c>
      <c r="G219" s="74" t="s">
        <v>1096</v>
      </c>
      <c r="H219" s="78" t="s">
        <v>755</v>
      </c>
      <c r="I219" s="78" t="s">
        <v>370</v>
      </c>
      <c r="J219" s="79"/>
      <c r="K219" s="79">
        <f>5%*K122</f>
        <v>5655000</v>
      </c>
    </row>
    <row r="220" spans="1:11" ht="12.75">
      <c r="A220" s="73" t="str">
        <f t="shared" si="4"/>
        <v>30/10/2020</v>
      </c>
      <c r="B220" s="74"/>
      <c r="C220" s="75"/>
      <c r="D220" s="74" t="s">
        <v>581</v>
      </c>
      <c r="E220" s="75" t="s">
        <v>723</v>
      </c>
      <c r="F220" s="76" t="s">
        <v>935</v>
      </c>
      <c r="G220" s="74" t="s">
        <v>1097</v>
      </c>
      <c r="H220" s="78" t="s">
        <v>452</v>
      </c>
      <c r="I220" s="78" t="s">
        <v>370</v>
      </c>
      <c r="J220" s="79"/>
      <c r="K220" s="79">
        <f>K219*5%</f>
        <v>282750</v>
      </c>
    </row>
    <row r="221" spans="1:11" ht="12.75">
      <c r="A221" s="73" t="str">
        <f t="shared" si="4"/>
        <v>30/10/2020</v>
      </c>
      <c r="B221" s="74"/>
      <c r="C221" s="75"/>
      <c r="D221" s="74" t="s">
        <v>582</v>
      </c>
      <c r="E221" s="74" t="s">
        <v>724</v>
      </c>
      <c r="F221" s="76" t="s">
        <v>935</v>
      </c>
      <c r="G221" s="74" t="s">
        <v>1098</v>
      </c>
      <c r="H221" s="78" t="s">
        <v>90</v>
      </c>
      <c r="I221" s="78" t="s">
        <v>464</v>
      </c>
      <c r="J221" s="79"/>
      <c r="K221" s="79">
        <v>1500000</v>
      </c>
    </row>
    <row r="222" spans="1:11" ht="12.75">
      <c r="A222" s="73" t="str">
        <f t="shared" si="4"/>
        <v>30/10/2020</v>
      </c>
      <c r="B222" s="74"/>
      <c r="C222" s="75"/>
      <c r="D222" s="74" t="s">
        <v>583</v>
      </c>
      <c r="E222" s="74" t="s">
        <v>686</v>
      </c>
      <c r="F222" s="76" t="s">
        <v>935</v>
      </c>
      <c r="G222" s="74" t="s">
        <v>1099</v>
      </c>
      <c r="H222" s="78" t="s">
        <v>375</v>
      </c>
      <c r="I222" s="78" t="s">
        <v>450</v>
      </c>
      <c r="J222" s="79"/>
      <c r="K222" s="79">
        <v>1000000</v>
      </c>
    </row>
    <row r="223" spans="1:11" ht="12.75">
      <c r="A223" s="73" t="str">
        <f t="shared" si="4"/>
        <v>30/10/2020</v>
      </c>
      <c r="B223" s="74" t="s">
        <v>320</v>
      </c>
      <c r="C223" s="75"/>
      <c r="D223" s="75"/>
      <c r="E223" s="75"/>
      <c r="F223" s="76" t="s">
        <v>935</v>
      </c>
      <c r="G223" s="74" t="s">
        <v>1100</v>
      </c>
      <c r="H223" s="78" t="s">
        <v>450</v>
      </c>
      <c r="I223" s="78" t="s">
        <v>344</v>
      </c>
      <c r="J223" s="79"/>
      <c r="K223" s="79">
        <v>1000000</v>
      </c>
    </row>
    <row r="224" spans="1:11" ht="12.75">
      <c r="A224" s="73" t="str">
        <f t="shared" si="4"/>
        <v>30/10/2020</v>
      </c>
      <c r="B224" s="74"/>
      <c r="C224" s="74" t="s">
        <v>319</v>
      </c>
      <c r="D224" s="74" t="s">
        <v>584</v>
      </c>
      <c r="E224" s="75" t="s">
        <v>685</v>
      </c>
      <c r="F224" s="76" t="s">
        <v>935</v>
      </c>
      <c r="G224" s="74" t="s">
        <v>991</v>
      </c>
      <c r="H224" s="78" t="s">
        <v>397</v>
      </c>
      <c r="I224" s="78" t="s">
        <v>435</v>
      </c>
      <c r="J224" s="79">
        <v>80000</v>
      </c>
      <c r="K224" s="79">
        <f>80000*12000</f>
        <v>960000000</v>
      </c>
    </row>
    <row r="225" spans="1:11" ht="12.75">
      <c r="A225" s="73" t="str">
        <f t="shared" si="4"/>
        <v>30/10/2020</v>
      </c>
      <c r="B225" s="74"/>
      <c r="C225" s="74" t="s">
        <v>319</v>
      </c>
      <c r="D225" s="74" t="s">
        <v>585</v>
      </c>
      <c r="E225" s="75" t="s">
        <v>685</v>
      </c>
      <c r="F225" s="76" t="s">
        <v>935</v>
      </c>
      <c r="G225" s="74" t="s">
        <v>991</v>
      </c>
      <c r="H225" s="78" t="s">
        <v>398</v>
      </c>
      <c r="I225" s="78" t="s">
        <v>435</v>
      </c>
      <c r="J225" s="79">
        <v>120000</v>
      </c>
      <c r="K225" s="79">
        <f>J225*8000</f>
        <v>960000000</v>
      </c>
    </row>
    <row r="226" spans="1:11" ht="12.75">
      <c r="A226" s="73" t="str">
        <f t="shared" si="4"/>
        <v>30/10/2020</v>
      </c>
      <c r="B226" s="74"/>
      <c r="C226" s="74"/>
      <c r="D226" s="74" t="s">
        <v>585</v>
      </c>
      <c r="E226" s="75" t="s">
        <v>685</v>
      </c>
      <c r="F226" s="76" t="s">
        <v>935</v>
      </c>
      <c r="G226" s="74" t="s">
        <v>1025</v>
      </c>
      <c r="H226" s="80" t="s">
        <v>375</v>
      </c>
      <c r="I226" s="78" t="s">
        <v>435</v>
      </c>
      <c r="J226" s="79"/>
      <c r="K226" s="79">
        <f>SUM(K224:K225)*0.1</f>
        <v>192000000</v>
      </c>
    </row>
    <row r="227" spans="1:11" ht="12.75">
      <c r="A227" s="73" t="str">
        <f t="shared" si="4"/>
        <v>30/10/2020</v>
      </c>
      <c r="B227" s="74"/>
      <c r="C227" s="74" t="s">
        <v>321</v>
      </c>
      <c r="D227" s="74" t="s">
        <v>586</v>
      </c>
      <c r="E227" s="74"/>
      <c r="F227" s="76" t="s">
        <v>935</v>
      </c>
      <c r="G227" s="74" t="s">
        <v>1101</v>
      </c>
      <c r="H227" s="78" t="s">
        <v>401</v>
      </c>
      <c r="I227" s="78" t="s">
        <v>402</v>
      </c>
      <c r="J227" s="79">
        <v>833</v>
      </c>
      <c r="K227" s="79">
        <v>1500000</v>
      </c>
    </row>
    <row r="228" spans="1:11" ht="12.75">
      <c r="A228" s="73" t="str">
        <f t="shared" si="4"/>
        <v>30/10/2020</v>
      </c>
      <c r="B228" s="74"/>
      <c r="C228" s="74" t="s">
        <v>322</v>
      </c>
      <c r="D228" s="74" t="s">
        <v>586</v>
      </c>
      <c r="E228" s="74"/>
      <c r="F228" s="76" t="s">
        <v>935</v>
      </c>
      <c r="G228" s="74" t="s">
        <v>1102</v>
      </c>
      <c r="H228" s="78" t="s">
        <v>401</v>
      </c>
      <c r="I228" s="78" t="s">
        <v>403</v>
      </c>
      <c r="J228" s="79">
        <v>668</v>
      </c>
      <c r="K228" s="79">
        <v>1200000</v>
      </c>
    </row>
    <row r="229" spans="1:11" ht="12.75">
      <c r="A229" s="73" t="str">
        <f t="shared" si="4"/>
        <v>30/10/2020</v>
      </c>
      <c r="B229" s="74" t="s">
        <v>324</v>
      </c>
      <c r="C229" s="74"/>
      <c r="D229" s="74"/>
      <c r="E229" s="66"/>
      <c r="F229" s="76" t="s">
        <v>935</v>
      </c>
      <c r="G229" s="74" t="s">
        <v>1103</v>
      </c>
      <c r="H229" s="78" t="s">
        <v>344</v>
      </c>
      <c r="I229" s="78" t="s">
        <v>361</v>
      </c>
      <c r="J229" s="79"/>
      <c r="K229" s="79">
        <v>20000000</v>
      </c>
    </row>
    <row r="230" spans="1:11" ht="12.75">
      <c r="A230" s="73" t="str">
        <f t="shared" si="4"/>
        <v>30/10/2020</v>
      </c>
      <c r="B230" s="74"/>
      <c r="C230" s="74"/>
      <c r="D230" s="74" t="s">
        <v>587</v>
      </c>
      <c r="E230" s="74" t="s">
        <v>725</v>
      </c>
      <c r="F230" s="76" t="s">
        <v>935</v>
      </c>
      <c r="G230" s="74" t="s">
        <v>1104</v>
      </c>
      <c r="H230" s="78" t="s">
        <v>435</v>
      </c>
      <c r="I230" s="80" t="s">
        <v>347</v>
      </c>
      <c r="J230" s="79"/>
      <c r="K230" s="79">
        <v>50000000</v>
      </c>
    </row>
    <row r="231" spans="1:11" ht="12.75">
      <c r="A231" s="73" t="str">
        <f t="shared" si="4"/>
        <v>30/10/2020</v>
      </c>
      <c r="B231" s="75"/>
      <c r="C231" s="75"/>
      <c r="D231" s="74" t="s">
        <v>588</v>
      </c>
      <c r="E231" s="74" t="s">
        <v>686</v>
      </c>
      <c r="F231" s="76" t="s">
        <v>935</v>
      </c>
      <c r="G231" s="74" t="s">
        <v>1105</v>
      </c>
      <c r="H231" s="78" t="s">
        <v>194</v>
      </c>
      <c r="I231" s="78" t="s">
        <v>452</v>
      </c>
      <c r="J231" s="79"/>
      <c r="K231" s="79">
        <f>SUMIF($H$6:$H$332,I231,$K$6:$K$332)</f>
        <v>282750</v>
      </c>
    </row>
    <row r="232" spans="1:11" ht="12.75">
      <c r="A232" s="73" t="str">
        <f t="shared" si="4"/>
        <v>30/10/2020</v>
      </c>
      <c r="B232" s="75"/>
      <c r="C232" s="75"/>
      <c r="D232" s="74" t="s">
        <v>589</v>
      </c>
      <c r="E232" s="74" t="s">
        <v>686</v>
      </c>
      <c r="F232" s="76" t="s">
        <v>935</v>
      </c>
      <c r="G232" s="74" t="s">
        <v>1106</v>
      </c>
      <c r="H232" s="78" t="s">
        <v>194</v>
      </c>
      <c r="I232" s="78" t="s">
        <v>375</v>
      </c>
      <c r="J232" s="79"/>
      <c r="K232" s="79">
        <f>SUMIF($H$6:$H$332,I232,$K$6:$K$332)</f>
        <v>288254860</v>
      </c>
    </row>
    <row r="233" spans="1:11" ht="12.75">
      <c r="A233" s="73" t="str">
        <f t="shared" si="4"/>
        <v>30/10/2020</v>
      </c>
      <c r="B233" s="75"/>
      <c r="C233" s="75"/>
      <c r="D233" s="74" t="s">
        <v>589</v>
      </c>
      <c r="E233" s="74" t="s">
        <v>686</v>
      </c>
      <c r="F233" s="76" t="s">
        <v>935</v>
      </c>
      <c r="G233" s="74" t="s">
        <v>1107</v>
      </c>
      <c r="H233" s="78" t="s">
        <v>194</v>
      </c>
      <c r="I233" s="78" t="s">
        <v>377</v>
      </c>
      <c r="J233" s="79"/>
      <c r="K233" s="79">
        <f>SUMIF($H$6:$H$332,I233,$K$6:$K$332)</f>
        <v>3500000</v>
      </c>
    </row>
    <row r="234" spans="1:11" ht="12.75">
      <c r="A234" s="73" t="str">
        <f t="shared" si="4"/>
        <v>31/10/2020</v>
      </c>
      <c r="B234" s="75"/>
      <c r="C234" s="75"/>
      <c r="D234" s="74" t="s">
        <v>590</v>
      </c>
      <c r="E234" s="74" t="s">
        <v>686</v>
      </c>
      <c r="F234" s="76" t="s">
        <v>936</v>
      </c>
      <c r="G234" s="74" t="s">
        <v>1108</v>
      </c>
      <c r="H234" s="78" t="s">
        <v>367</v>
      </c>
      <c r="I234" s="78" t="s">
        <v>374</v>
      </c>
      <c r="J234" s="79"/>
      <c r="K234" s="79">
        <v>20000000</v>
      </c>
    </row>
    <row r="235" spans="1:11" ht="12.75">
      <c r="A235" s="73" t="str">
        <f t="shared" si="4"/>
        <v>31/10/2020</v>
      </c>
      <c r="B235" s="75"/>
      <c r="C235" s="75"/>
      <c r="D235" s="74" t="s">
        <v>590</v>
      </c>
      <c r="E235" s="74" t="s">
        <v>686</v>
      </c>
      <c r="F235" s="76" t="s">
        <v>936</v>
      </c>
      <c r="G235" s="74" t="s">
        <v>1109</v>
      </c>
      <c r="H235" s="78" t="s">
        <v>445</v>
      </c>
      <c r="I235" s="78" t="s">
        <v>431</v>
      </c>
      <c r="J235" s="79"/>
      <c r="K235" s="79">
        <v>10000000</v>
      </c>
    </row>
    <row r="236" spans="1:11" ht="12.75">
      <c r="A236" s="73" t="str">
        <f t="shared" si="4"/>
        <v>30/10/2020</v>
      </c>
      <c r="B236" s="74"/>
      <c r="C236" s="75"/>
      <c r="D236" s="74" t="s">
        <v>591</v>
      </c>
      <c r="E236" s="74" t="s">
        <v>717</v>
      </c>
      <c r="F236" s="76" t="s">
        <v>935</v>
      </c>
      <c r="G236" s="74" t="s">
        <v>1110</v>
      </c>
      <c r="H236" s="78" t="s">
        <v>30</v>
      </c>
      <c r="I236" s="78" t="s">
        <v>750</v>
      </c>
      <c r="J236" s="79"/>
      <c r="K236" s="82">
        <v>56296666.666666664</v>
      </c>
    </row>
    <row r="237" spans="1:11" ht="12.75">
      <c r="A237" s="73" t="str">
        <f t="shared" si="4"/>
        <v>30/10/2020</v>
      </c>
      <c r="B237" s="74"/>
      <c r="C237" s="75"/>
      <c r="D237" s="74" t="s">
        <v>591</v>
      </c>
      <c r="E237" s="74" t="s">
        <v>717</v>
      </c>
      <c r="F237" s="76" t="s">
        <v>935</v>
      </c>
      <c r="G237" s="74" t="s">
        <v>1110</v>
      </c>
      <c r="H237" s="78" t="s">
        <v>31</v>
      </c>
      <c r="I237" s="78" t="s">
        <v>750</v>
      </c>
      <c r="J237" s="79"/>
      <c r="K237" s="82">
        <v>74864444.44444445</v>
      </c>
    </row>
    <row r="238" spans="1:11" ht="12.75">
      <c r="A238" s="73" t="str">
        <f t="shared" si="4"/>
        <v>30/10/2020</v>
      </c>
      <c r="B238" s="74"/>
      <c r="C238" s="75"/>
      <c r="D238" s="74" t="s">
        <v>591</v>
      </c>
      <c r="E238" s="74" t="s">
        <v>717</v>
      </c>
      <c r="F238" s="76" t="s">
        <v>935</v>
      </c>
      <c r="G238" s="74" t="s">
        <v>1110</v>
      </c>
      <c r="H238" s="78" t="s">
        <v>33</v>
      </c>
      <c r="I238" s="78" t="s">
        <v>750</v>
      </c>
      <c r="J238" s="79"/>
      <c r="K238" s="82">
        <v>27066666.666666664</v>
      </c>
    </row>
    <row r="239" spans="1:11" ht="12.75">
      <c r="A239" s="73" t="str">
        <f t="shared" si="4"/>
        <v>30/10/2020</v>
      </c>
      <c r="B239" s="74"/>
      <c r="C239" s="75"/>
      <c r="D239" s="74" t="s">
        <v>591</v>
      </c>
      <c r="E239" s="74" t="s">
        <v>717</v>
      </c>
      <c r="F239" s="76" t="s">
        <v>935</v>
      </c>
      <c r="G239" s="74" t="s">
        <v>1110</v>
      </c>
      <c r="H239" s="78" t="s">
        <v>34</v>
      </c>
      <c r="I239" s="78" t="s">
        <v>750</v>
      </c>
      <c r="J239" s="79"/>
      <c r="K239" s="82">
        <v>21730000</v>
      </c>
    </row>
    <row r="240" spans="1:11" ht="12.75">
      <c r="A240" s="73" t="str">
        <f t="shared" si="4"/>
        <v>30/10/2020</v>
      </c>
      <c r="B240" s="74"/>
      <c r="C240" s="75"/>
      <c r="D240" s="74" t="s">
        <v>591</v>
      </c>
      <c r="E240" s="74" t="s">
        <v>717</v>
      </c>
      <c r="F240" s="76" t="s">
        <v>935</v>
      </c>
      <c r="G240" s="74" t="s">
        <v>1110</v>
      </c>
      <c r="H240" s="78" t="s">
        <v>36</v>
      </c>
      <c r="I240" s="78" t="s">
        <v>750</v>
      </c>
      <c r="J240" s="79"/>
      <c r="K240" s="82">
        <v>20530000</v>
      </c>
    </row>
    <row r="241" spans="1:11" ht="12.75">
      <c r="A241" s="73" t="str">
        <f t="shared" si="4"/>
        <v>30/10/2020</v>
      </c>
      <c r="B241" s="74"/>
      <c r="C241" s="75"/>
      <c r="D241" s="74" t="s">
        <v>591</v>
      </c>
      <c r="E241" s="74" t="s">
        <v>717</v>
      </c>
      <c r="F241" s="76" t="s">
        <v>935</v>
      </c>
      <c r="G241" s="74" t="s">
        <v>1110</v>
      </c>
      <c r="H241" s="78" t="s">
        <v>68</v>
      </c>
      <c r="I241" s="78" t="s">
        <v>750</v>
      </c>
      <c r="J241" s="79"/>
      <c r="K241" s="82">
        <v>39659074.074074075</v>
      </c>
    </row>
    <row r="242" spans="1:11" ht="12.75">
      <c r="A242" s="73" t="str">
        <f t="shared" si="4"/>
        <v>30/10/2020</v>
      </c>
      <c r="B242" s="74"/>
      <c r="C242" s="75"/>
      <c r="D242" s="74" t="s">
        <v>591</v>
      </c>
      <c r="E242" s="74" t="s">
        <v>717</v>
      </c>
      <c r="F242" s="76" t="s">
        <v>935</v>
      </c>
      <c r="G242" s="74" t="s">
        <v>1110</v>
      </c>
      <c r="H242" s="78" t="s">
        <v>82</v>
      </c>
      <c r="I242" s="78" t="s">
        <v>750</v>
      </c>
      <c r="J242" s="79"/>
      <c r="K242" s="82">
        <v>92193888.8888889</v>
      </c>
    </row>
    <row r="243" spans="1:11" ht="12.75">
      <c r="A243" s="73" t="str">
        <f t="shared" si="4"/>
        <v>30/10/2020</v>
      </c>
      <c r="B243" s="74"/>
      <c r="C243" s="75"/>
      <c r="D243" s="74" t="s">
        <v>592</v>
      </c>
      <c r="E243" s="74" t="s">
        <v>886</v>
      </c>
      <c r="F243" s="76" t="s">
        <v>935</v>
      </c>
      <c r="G243" s="74" t="s">
        <v>1111</v>
      </c>
      <c r="H243" s="78" t="s">
        <v>207</v>
      </c>
      <c r="I243" s="78" t="s">
        <v>750</v>
      </c>
      <c r="J243" s="79"/>
      <c r="K243" s="82">
        <v>5000000</v>
      </c>
    </row>
    <row r="244" spans="1:11" ht="12.75">
      <c r="A244" s="73" t="str">
        <f t="shared" si="4"/>
        <v>30/10/2020</v>
      </c>
      <c r="B244" s="74"/>
      <c r="C244" s="75"/>
      <c r="D244" s="74" t="s">
        <v>593</v>
      </c>
      <c r="E244" s="74" t="s">
        <v>887</v>
      </c>
      <c r="F244" s="76" t="s">
        <v>935</v>
      </c>
      <c r="G244" s="74" t="s">
        <v>1112</v>
      </c>
      <c r="H244" s="78" t="s">
        <v>213</v>
      </c>
      <c r="I244" s="78" t="s">
        <v>750</v>
      </c>
      <c r="J244" s="79"/>
      <c r="K244" s="82">
        <v>14000000</v>
      </c>
    </row>
    <row r="245" spans="1:11" ht="12.75">
      <c r="A245" s="73" t="str">
        <f t="shared" si="4"/>
        <v>30/10/2020</v>
      </c>
      <c r="B245" s="74"/>
      <c r="C245" s="75"/>
      <c r="D245" s="74" t="s">
        <v>594</v>
      </c>
      <c r="E245" s="74" t="s">
        <v>705</v>
      </c>
      <c r="F245" s="76" t="s">
        <v>935</v>
      </c>
      <c r="G245" s="74" t="s">
        <v>1113</v>
      </c>
      <c r="H245" s="78" t="s">
        <v>30</v>
      </c>
      <c r="I245" s="78" t="s">
        <v>205</v>
      </c>
      <c r="J245" s="79"/>
      <c r="K245" s="82">
        <v>1002000</v>
      </c>
    </row>
    <row r="246" spans="1:11" ht="12.75">
      <c r="A246" s="73" t="str">
        <f t="shared" si="4"/>
        <v>30/10/2020</v>
      </c>
      <c r="B246" s="74"/>
      <c r="C246" s="75"/>
      <c r="D246" s="74" t="s">
        <v>595</v>
      </c>
      <c r="E246" s="74" t="s">
        <v>705</v>
      </c>
      <c r="F246" s="76" t="s">
        <v>935</v>
      </c>
      <c r="G246" s="74" t="s">
        <v>1114</v>
      </c>
      <c r="H246" s="78" t="s">
        <v>31</v>
      </c>
      <c r="I246" s="78" t="s">
        <v>205</v>
      </c>
      <c r="J246" s="79"/>
      <c r="K246" s="82">
        <v>1336000</v>
      </c>
    </row>
    <row r="247" spans="1:11" ht="12.75">
      <c r="A247" s="73" t="str">
        <f t="shared" si="4"/>
        <v>30/10/2020</v>
      </c>
      <c r="B247" s="74"/>
      <c r="C247" s="75"/>
      <c r="D247" s="74" t="s">
        <v>596</v>
      </c>
      <c r="E247" s="74" t="s">
        <v>705</v>
      </c>
      <c r="F247" s="76" t="s">
        <v>935</v>
      </c>
      <c r="G247" s="74" t="s">
        <v>1115</v>
      </c>
      <c r="H247" s="78" t="s">
        <v>33</v>
      </c>
      <c r="I247" s="78" t="s">
        <v>205</v>
      </c>
      <c r="J247" s="79"/>
      <c r="K247" s="82">
        <v>494000</v>
      </c>
    </row>
    <row r="248" spans="1:11" ht="12.75">
      <c r="A248" s="73" t="str">
        <f t="shared" si="4"/>
        <v>30/10/2020</v>
      </c>
      <c r="B248" s="74"/>
      <c r="C248" s="75"/>
      <c r="D248" s="74" t="s">
        <v>597</v>
      </c>
      <c r="E248" s="74" t="s">
        <v>705</v>
      </c>
      <c r="F248" s="76" t="s">
        <v>935</v>
      </c>
      <c r="G248" s="74" t="s">
        <v>1116</v>
      </c>
      <c r="H248" s="78" t="s">
        <v>34</v>
      </c>
      <c r="I248" s="78" t="s">
        <v>205</v>
      </c>
      <c r="J248" s="79"/>
      <c r="K248" s="82">
        <v>336000</v>
      </c>
    </row>
    <row r="249" spans="1:11" ht="12.75">
      <c r="A249" s="73" t="str">
        <f t="shared" si="4"/>
        <v>30/10/2020</v>
      </c>
      <c r="B249" s="74"/>
      <c r="C249" s="75"/>
      <c r="D249" s="74" t="s">
        <v>598</v>
      </c>
      <c r="E249" s="74" t="s">
        <v>705</v>
      </c>
      <c r="F249" s="76" t="s">
        <v>935</v>
      </c>
      <c r="G249" s="74" t="s">
        <v>1117</v>
      </c>
      <c r="H249" s="78" t="s">
        <v>36</v>
      </c>
      <c r="I249" s="78" t="s">
        <v>205</v>
      </c>
      <c r="J249" s="79"/>
      <c r="K249" s="82">
        <v>330000</v>
      </c>
    </row>
    <row r="250" spans="1:11" ht="12.75">
      <c r="A250" s="73" t="str">
        <f t="shared" si="4"/>
        <v>30/10/2020</v>
      </c>
      <c r="B250" s="74"/>
      <c r="C250" s="75"/>
      <c r="D250" s="74" t="s">
        <v>599</v>
      </c>
      <c r="E250" s="74" t="s">
        <v>705</v>
      </c>
      <c r="F250" s="76" t="s">
        <v>935</v>
      </c>
      <c r="G250" s="74" t="s">
        <v>1118</v>
      </c>
      <c r="H250" s="78" t="s">
        <v>68</v>
      </c>
      <c r="I250" s="78" t="s">
        <v>205</v>
      </c>
      <c r="J250" s="79"/>
      <c r="K250" s="82">
        <v>674000</v>
      </c>
    </row>
    <row r="251" spans="1:11" ht="12.75">
      <c r="A251" s="73" t="str">
        <f t="shared" si="4"/>
        <v>30/10/2020</v>
      </c>
      <c r="B251" s="74"/>
      <c r="C251" s="75"/>
      <c r="D251" s="74" t="s">
        <v>600</v>
      </c>
      <c r="E251" s="74" t="s">
        <v>705</v>
      </c>
      <c r="F251" s="76" t="s">
        <v>935</v>
      </c>
      <c r="G251" s="74" t="s">
        <v>1119</v>
      </c>
      <c r="H251" s="78" t="s">
        <v>82</v>
      </c>
      <c r="I251" s="78" t="s">
        <v>205</v>
      </c>
      <c r="J251" s="79"/>
      <c r="K251" s="82">
        <v>1644000</v>
      </c>
    </row>
    <row r="252" spans="1:11" ht="12.75">
      <c r="A252" s="73" t="str">
        <f t="shared" si="4"/>
        <v>30/10/2020</v>
      </c>
      <c r="B252" s="74"/>
      <c r="C252" s="75"/>
      <c r="D252" s="74" t="s">
        <v>594</v>
      </c>
      <c r="E252" s="74" t="s">
        <v>705</v>
      </c>
      <c r="F252" s="76" t="s">
        <v>935</v>
      </c>
      <c r="G252" s="74" t="s">
        <v>1120</v>
      </c>
      <c r="H252" s="78" t="s">
        <v>30</v>
      </c>
      <c r="I252" s="78" t="s">
        <v>207</v>
      </c>
      <c r="J252" s="79"/>
      <c r="K252" s="82">
        <v>8767500</v>
      </c>
    </row>
    <row r="253" spans="1:11" ht="12.75">
      <c r="A253" s="73" t="str">
        <f t="shared" si="4"/>
        <v>30/10/2020</v>
      </c>
      <c r="B253" s="74"/>
      <c r="C253" s="75"/>
      <c r="D253" s="74" t="s">
        <v>595</v>
      </c>
      <c r="E253" s="74" t="s">
        <v>705</v>
      </c>
      <c r="F253" s="76" t="s">
        <v>935</v>
      </c>
      <c r="G253" s="74" t="s">
        <v>1121</v>
      </c>
      <c r="H253" s="78" t="s">
        <v>31</v>
      </c>
      <c r="I253" s="78" t="s">
        <v>207</v>
      </c>
      <c r="J253" s="79"/>
      <c r="K253" s="82">
        <v>11690000</v>
      </c>
    </row>
    <row r="254" spans="1:11" ht="12.75">
      <c r="A254" s="73" t="str">
        <f t="shared" si="4"/>
        <v>30/10/2020</v>
      </c>
      <c r="B254" s="74"/>
      <c r="C254" s="75"/>
      <c r="D254" s="74" t="s">
        <v>596</v>
      </c>
      <c r="E254" s="74" t="s">
        <v>705</v>
      </c>
      <c r="F254" s="76" t="s">
        <v>935</v>
      </c>
      <c r="G254" s="74" t="s">
        <v>1122</v>
      </c>
      <c r="H254" s="78" t="s">
        <v>33</v>
      </c>
      <c r="I254" s="78" t="s">
        <v>207</v>
      </c>
      <c r="J254" s="79"/>
      <c r="K254" s="82">
        <v>4322500</v>
      </c>
    </row>
    <row r="255" spans="1:11" ht="12.75">
      <c r="A255" s="73" t="str">
        <f t="shared" si="4"/>
        <v>30/10/2020</v>
      </c>
      <c r="B255" s="74"/>
      <c r="C255" s="75"/>
      <c r="D255" s="74" t="s">
        <v>597</v>
      </c>
      <c r="E255" s="74" t="s">
        <v>705</v>
      </c>
      <c r="F255" s="76" t="s">
        <v>935</v>
      </c>
      <c r="G255" s="74" t="s">
        <v>1123</v>
      </c>
      <c r="H255" s="78" t="s">
        <v>34</v>
      </c>
      <c r="I255" s="78" t="s">
        <v>207</v>
      </c>
      <c r="J255" s="79"/>
      <c r="K255" s="82">
        <v>2940000</v>
      </c>
    </row>
    <row r="256" spans="1:11" ht="12.75">
      <c r="A256" s="73" t="str">
        <f t="shared" si="4"/>
        <v>30/10/2020</v>
      </c>
      <c r="B256" s="74"/>
      <c r="C256" s="75"/>
      <c r="D256" s="74" t="s">
        <v>598</v>
      </c>
      <c r="E256" s="74" t="s">
        <v>705</v>
      </c>
      <c r="F256" s="76" t="s">
        <v>935</v>
      </c>
      <c r="G256" s="74" t="s">
        <v>1124</v>
      </c>
      <c r="H256" s="78" t="s">
        <v>36</v>
      </c>
      <c r="I256" s="78" t="s">
        <v>207</v>
      </c>
      <c r="J256" s="79"/>
      <c r="K256" s="82">
        <v>2887500</v>
      </c>
    </row>
    <row r="257" spans="1:11" ht="12.75">
      <c r="A257" s="73" t="str">
        <f t="shared" si="4"/>
        <v>30/10/2020</v>
      </c>
      <c r="B257" s="74"/>
      <c r="C257" s="75"/>
      <c r="D257" s="74" t="s">
        <v>599</v>
      </c>
      <c r="E257" s="74" t="s">
        <v>705</v>
      </c>
      <c r="F257" s="76" t="s">
        <v>935</v>
      </c>
      <c r="G257" s="74" t="s">
        <v>1125</v>
      </c>
      <c r="H257" s="78" t="s">
        <v>68</v>
      </c>
      <c r="I257" s="78" t="s">
        <v>207</v>
      </c>
      <c r="J257" s="79"/>
      <c r="K257" s="82">
        <v>5897500</v>
      </c>
    </row>
    <row r="258" spans="1:11" ht="12.75">
      <c r="A258" s="73" t="str">
        <f t="shared" si="4"/>
        <v>30/10/2020</v>
      </c>
      <c r="B258" s="74"/>
      <c r="C258" s="75"/>
      <c r="D258" s="74" t="s">
        <v>600</v>
      </c>
      <c r="E258" s="74" t="s">
        <v>705</v>
      </c>
      <c r="F258" s="76" t="s">
        <v>935</v>
      </c>
      <c r="G258" s="74" t="s">
        <v>1126</v>
      </c>
      <c r="H258" s="78" t="s">
        <v>82</v>
      </c>
      <c r="I258" s="78" t="s">
        <v>207</v>
      </c>
      <c r="J258" s="79"/>
      <c r="K258" s="82">
        <v>14385000</v>
      </c>
    </row>
    <row r="259" spans="1:11" ht="12.75">
      <c r="A259" s="73" t="str">
        <f t="shared" si="4"/>
        <v>30/10/2020</v>
      </c>
      <c r="B259" s="74"/>
      <c r="C259" s="75"/>
      <c r="D259" s="74" t="s">
        <v>594</v>
      </c>
      <c r="E259" s="74" t="s">
        <v>705</v>
      </c>
      <c r="F259" s="76" t="s">
        <v>935</v>
      </c>
      <c r="G259" s="74" t="s">
        <v>1127</v>
      </c>
      <c r="H259" s="78" t="s">
        <v>30</v>
      </c>
      <c r="I259" s="78" t="s">
        <v>209</v>
      </c>
      <c r="J259" s="79"/>
      <c r="K259" s="82">
        <v>1503000</v>
      </c>
    </row>
    <row r="260" spans="1:11" ht="12.75">
      <c r="A260" s="73" t="str">
        <f t="shared" si="4"/>
        <v>30/10/2020</v>
      </c>
      <c r="B260" s="74"/>
      <c r="C260" s="75"/>
      <c r="D260" s="74" t="s">
        <v>595</v>
      </c>
      <c r="E260" s="74" t="s">
        <v>705</v>
      </c>
      <c r="F260" s="76" t="s">
        <v>935</v>
      </c>
      <c r="G260" s="74" t="s">
        <v>1128</v>
      </c>
      <c r="H260" s="78" t="s">
        <v>31</v>
      </c>
      <c r="I260" s="78" t="s">
        <v>209</v>
      </c>
      <c r="J260" s="79"/>
      <c r="K260" s="82">
        <v>2004000</v>
      </c>
    </row>
    <row r="261" spans="1:11" ht="12.75">
      <c r="A261" s="73" t="str">
        <f t="shared" si="4"/>
        <v>30/10/2020</v>
      </c>
      <c r="B261" s="74"/>
      <c r="C261" s="75"/>
      <c r="D261" s="74" t="s">
        <v>596</v>
      </c>
      <c r="E261" s="74" t="s">
        <v>705</v>
      </c>
      <c r="F261" s="76" t="s">
        <v>935</v>
      </c>
      <c r="G261" s="74" t="s">
        <v>1129</v>
      </c>
      <c r="H261" s="78" t="s">
        <v>33</v>
      </c>
      <c r="I261" s="78" t="s">
        <v>209</v>
      </c>
      <c r="J261" s="79"/>
      <c r="K261" s="82">
        <v>741000</v>
      </c>
    </row>
    <row r="262" spans="1:11" ht="12.75">
      <c r="A262" s="73" t="str">
        <f t="shared" si="4"/>
        <v>30/10/2020</v>
      </c>
      <c r="B262" s="74"/>
      <c r="C262" s="75"/>
      <c r="D262" s="74" t="s">
        <v>597</v>
      </c>
      <c r="E262" s="74" t="s">
        <v>705</v>
      </c>
      <c r="F262" s="76" t="s">
        <v>935</v>
      </c>
      <c r="G262" s="74" t="s">
        <v>1130</v>
      </c>
      <c r="H262" s="78" t="s">
        <v>34</v>
      </c>
      <c r="I262" s="78" t="s">
        <v>209</v>
      </c>
      <c r="J262" s="79"/>
      <c r="K262" s="82">
        <v>504000</v>
      </c>
    </row>
    <row r="263" spans="1:11" ht="12.75">
      <c r="A263" s="73" t="str">
        <f aca="true" t="shared" si="5" ref="A263:A326">F263</f>
        <v>30/10/2020</v>
      </c>
      <c r="B263" s="74"/>
      <c r="C263" s="75"/>
      <c r="D263" s="74" t="s">
        <v>598</v>
      </c>
      <c r="E263" s="74" t="s">
        <v>705</v>
      </c>
      <c r="F263" s="76" t="s">
        <v>935</v>
      </c>
      <c r="G263" s="74" t="s">
        <v>1131</v>
      </c>
      <c r="H263" s="78" t="s">
        <v>36</v>
      </c>
      <c r="I263" s="78" t="s">
        <v>209</v>
      </c>
      <c r="J263" s="79"/>
      <c r="K263" s="82">
        <v>495000</v>
      </c>
    </row>
    <row r="264" spans="1:11" ht="12.75">
      <c r="A264" s="73" t="str">
        <f t="shared" si="5"/>
        <v>30/10/2020</v>
      </c>
      <c r="B264" s="74"/>
      <c r="C264" s="75"/>
      <c r="D264" s="74" t="s">
        <v>599</v>
      </c>
      <c r="E264" s="74" t="s">
        <v>705</v>
      </c>
      <c r="F264" s="76" t="s">
        <v>935</v>
      </c>
      <c r="G264" s="74" t="s">
        <v>1132</v>
      </c>
      <c r="H264" s="78" t="s">
        <v>68</v>
      </c>
      <c r="I264" s="78" t="s">
        <v>209</v>
      </c>
      <c r="J264" s="79"/>
      <c r="K264" s="82">
        <v>1011000</v>
      </c>
    </row>
    <row r="265" spans="1:11" ht="12.75">
      <c r="A265" s="73" t="str">
        <f t="shared" si="5"/>
        <v>30/10/2020</v>
      </c>
      <c r="B265" s="74"/>
      <c r="C265" s="75"/>
      <c r="D265" s="74" t="s">
        <v>600</v>
      </c>
      <c r="E265" s="74" t="s">
        <v>705</v>
      </c>
      <c r="F265" s="76" t="s">
        <v>935</v>
      </c>
      <c r="G265" s="74" t="s">
        <v>1133</v>
      </c>
      <c r="H265" s="78" t="s">
        <v>82</v>
      </c>
      <c r="I265" s="78" t="s">
        <v>209</v>
      </c>
      <c r="J265" s="79"/>
      <c r="K265" s="82">
        <v>2466000</v>
      </c>
    </row>
    <row r="266" spans="1:11" ht="12.75">
      <c r="A266" s="73" t="str">
        <f t="shared" si="5"/>
        <v>30/10/2020</v>
      </c>
      <c r="B266" s="74"/>
      <c r="C266" s="75"/>
      <c r="D266" s="74" t="s">
        <v>594</v>
      </c>
      <c r="E266" s="74" t="s">
        <v>705</v>
      </c>
      <c r="F266" s="76" t="s">
        <v>935</v>
      </c>
      <c r="G266" s="74" t="s">
        <v>1134</v>
      </c>
      <c r="H266" s="78" t="s">
        <v>30</v>
      </c>
      <c r="I266" s="78" t="s">
        <v>751</v>
      </c>
      <c r="J266" s="79"/>
      <c r="K266" s="82">
        <v>501000</v>
      </c>
    </row>
    <row r="267" spans="1:11" ht="12.75">
      <c r="A267" s="73" t="str">
        <f t="shared" si="5"/>
        <v>30/10/2020</v>
      </c>
      <c r="B267" s="74"/>
      <c r="C267" s="75"/>
      <c r="D267" s="74" t="s">
        <v>595</v>
      </c>
      <c r="E267" s="74" t="s">
        <v>705</v>
      </c>
      <c r="F267" s="76" t="s">
        <v>935</v>
      </c>
      <c r="G267" s="74" t="s">
        <v>1135</v>
      </c>
      <c r="H267" s="78" t="s">
        <v>31</v>
      </c>
      <c r="I267" s="78" t="s">
        <v>751</v>
      </c>
      <c r="J267" s="79"/>
      <c r="K267" s="82">
        <v>668000</v>
      </c>
    </row>
    <row r="268" spans="1:11" ht="12.75">
      <c r="A268" s="73" t="str">
        <f t="shared" si="5"/>
        <v>30/10/2020</v>
      </c>
      <c r="B268" s="74"/>
      <c r="C268" s="75"/>
      <c r="D268" s="74" t="s">
        <v>596</v>
      </c>
      <c r="E268" s="74" t="s">
        <v>705</v>
      </c>
      <c r="F268" s="76" t="s">
        <v>935</v>
      </c>
      <c r="G268" s="74" t="s">
        <v>1136</v>
      </c>
      <c r="H268" s="78" t="s">
        <v>33</v>
      </c>
      <c r="I268" s="78" t="s">
        <v>751</v>
      </c>
      <c r="J268" s="79"/>
      <c r="K268" s="82">
        <v>247000</v>
      </c>
    </row>
    <row r="269" spans="1:11" ht="12.75">
      <c r="A269" s="73" t="str">
        <f t="shared" si="5"/>
        <v>30/10/2020</v>
      </c>
      <c r="B269" s="74"/>
      <c r="C269" s="75"/>
      <c r="D269" s="74" t="s">
        <v>597</v>
      </c>
      <c r="E269" s="74" t="s">
        <v>705</v>
      </c>
      <c r="F269" s="76" t="s">
        <v>935</v>
      </c>
      <c r="G269" s="74" t="s">
        <v>1137</v>
      </c>
      <c r="H269" s="78" t="s">
        <v>34</v>
      </c>
      <c r="I269" s="78" t="s">
        <v>751</v>
      </c>
      <c r="J269" s="79"/>
      <c r="K269" s="82">
        <v>168000</v>
      </c>
    </row>
    <row r="270" spans="1:11" ht="12.75">
      <c r="A270" s="73" t="str">
        <f t="shared" si="5"/>
        <v>30/10/2020</v>
      </c>
      <c r="B270" s="74"/>
      <c r="C270" s="75"/>
      <c r="D270" s="74" t="s">
        <v>598</v>
      </c>
      <c r="E270" s="74" t="s">
        <v>705</v>
      </c>
      <c r="F270" s="76" t="s">
        <v>935</v>
      </c>
      <c r="G270" s="74" t="s">
        <v>1138</v>
      </c>
      <c r="H270" s="78" t="s">
        <v>36</v>
      </c>
      <c r="I270" s="78" t="s">
        <v>751</v>
      </c>
      <c r="J270" s="79"/>
      <c r="K270" s="82">
        <v>165000</v>
      </c>
    </row>
    <row r="271" spans="1:11" ht="12.75">
      <c r="A271" s="73" t="str">
        <f t="shared" si="5"/>
        <v>30/10/2020</v>
      </c>
      <c r="B271" s="74"/>
      <c r="C271" s="75"/>
      <c r="D271" s="74" t="s">
        <v>599</v>
      </c>
      <c r="E271" s="74" t="s">
        <v>705</v>
      </c>
      <c r="F271" s="76" t="s">
        <v>935</v>
      </c>
      <c r="G271" s="74" t="s">
        <v>1139</v>
      </c>
      <c r="H271" s="78" t="s">
        <v>68</v>
      </c>
      <c r="I271" s="78" t="s">
        <v>751</v>
      </c>
      <c r="J271" s="79"/>
      <c r="K271" s="82">
        <v>337000</v>
      </c>
    </row>
    <row r="272" spans="1:11" ht="12.75">
      <c r="A272" s="73" t="str">
        <f t="shared" si="5"/>
        <v>30/10/2020</v>
      </c>
      <c r="B272" s="74"/>
      <c r="C272" s="75"/>
      <c r="D272" s="74" t="s">
        <v>600</v>
      </c>
      <c r="E272" s="74" t="s">
        <v>705</v>
      </c>
      <c r="F272" s="76" t="s">
        <v>935</v>
      </c>
      <c r="G272" s="74" t="s">
        <v>1140</v>
      </c>
      <c r="H272" s="78" t="s">
        <v>82</v>
      </c>
      <c r="I272" s="78" t="s">
        <v>751</v>
      </c>
      <c r="J272" s="79"/>
      <c r="K272" s="82">
        <v>822000</v>
      </c>
    </row>
    <row r="273" spans="1:11" ht="12.75">
      <c r="A273" s="73" t="str">
        <f t="shared" si="5"/>
        <v>30/10/2020</v>
      </c>
      <c r="B273" s="74"/>
      <c r="C273" s="75"/>
      <c r="D273" s="74" t="s">
        <v>600</v>
      </c>
      <c r="E273" s="74" t="s">
        <v>705</v>
      </c>
      <c r="F273" s="76" t="s">
        <v>935</v>
      </c>
      <c r="G273" s="74" t="s">
        <v>1141</v>
      </c>
      <c r="H273" s="78" t="s">
        <v>750</v>
      </c>
      <c r="I273" s="78" t="s">
        <v>207</v>
      </c>
      <c r="J273" s="79"/>
      <c r="K273" s="82">
        <v>23264000</v>
      </c>
    </row>
    <row r="274" spans="1:11" ht="12.75">
      <c r="A274" s="73" t="str">
        <f t="shared" si="5"/>
        <v>30/10/2020</v>
      </c>
      <c r="B274" s="74"/>
      <c r="C274" s="75"/>
      <c r="D274" s="74" t="s">
        <v>600</v>
      </c>
      <c r="E274" s="74" t="s">
        <v>705</v>
      </c>
      <c r="F274" s="76" t="s">
        <v>935</v>
      </c>
      <c r="G274" s="139" t="s">
        <v>1142</v>
      </c>
      <c r="H274" s="83" t="s">
        <v>750</v>
      </c>
      <c r="I274" s="83" t="s">
        <v>209</v>
      </c>
      <c r="J274" s="82"/>
      <c r="K274" s="82">
        <v>4362000</v>
      </c>
    </row>
    <row r="275" spans="1:11" ht="12.75">
      <c r="A275" s="73" t="str">
        <f t="shared" si="5"/>
        <v>30/10/2020</v>
      </c>
      <c r="B275" s="74"/>
      <c r="C275" s="75"/>
      <c r="D275" s="74" t="s">
        <v>600</v>
      </c>
      <c r="E275" s="74" t="s">
        <v>705</v>
      </c>
      <c r="F275" s="76" t="s">
        <v>935</v>
      </c>
      <c r="G275" s="139" t="s">
        <v>1143</v>
      </c>
      <c r="H275" s="83" t="s">
        <v>750</v>
      </c>
      <c r="I275" s="83" t="s">
        <v>751</v>
      </c>
      <c r="J275" s="82"/>
      <c r="K275" s="82">
        <v>2908000</v>
      </c>
    </row>
    <row r="276" spans="1:11" ht="12.75">
      <c r="A276" s="73" t="str">
        <f t="shared" si="5"/>
        <v>30/10/2020</v>
      </c>
      <c r="B276" s="74"/>
      <c r="C276" s="75"/>
      <c r="D276" s="74" t="s">
        <v>890</v>
      </c>
      <c r="E276" s="74" t="s">
        <v>717</v>
      </c>
      <c r="F276" s="76" t="s">
        <v>935</v>
      </c>
      <c r="G276" s="139" t="s">
        <v>1144</v>
      </c>
      <c r="H276" s="83" t="s">
        <v>750</v>
      </c>
      <c r="I276" s="83" t="s">
        <v>459</v>
      </c>
      <c r="J276" s="82"/>
      <c r="K276" s="82">
        <v>4942253.703703703</v>
      </c>
    </row>
    <row r="277" spans="1:11" s="89" customFormat="1" ht="12.75">
      <c r="A277" s="84" t="str">
        <f t="shared" si="5"/>
        <v>30/10/2020</v>
      </c>
      <c r="B277" s="85"/>
      <c r="C277" s="86"/>
      <c r="D277" s="85" t="s">
        <v>601</v>
      </c>
      <c r="E277" s="85" t="s">
        <v>718</v>
      </c>
      <c r="F277" s="76" t="s">
        <v>935</v>
      </c>
      <c r="G277" s="140" t="s">
        <v>1145</v>
      </c>
      <c r="H277" s="87" t="s">
        <v>46</v>
      </c>
      <c r="I277" s="87" t="s">
        <v>414</v>
      </c>
      <c r="J277" s="88"/>
      <c r="K277" s="88">
        <v>16223387</v>
      </c>
    </row>
    <row r="278" spans="1:11" ht="12.75">
      <c r="A278" s="73" t="str">
        <f t="shared" si="5"/>
        <v>30/10/2020</v>
      </c>
      <c r="B278" s="74"/>
      <c r="C278" s="75"/>
      <c r="D278" s="85" t="s">
        <v>601</v>
      </c>
      <c r="E278" s="74" t="s">
        <v>718</v>
      </c>
      <c r="F278" s="76" t="s">
        <v>935</v>
      </c>
      <c r="G278" s="139" t="s">
        <v>1145</v>
      </c>
      <c r="H278" s="83" t="s">
        <v>48</v>
      </c>
      <c r="I278" s="83" t="s">
        <v>414</v>
      </c>
      <c r="J278" s="82"/>
      <c r="K278" s="88">
        <v>11500000</v>
      </c>
    </row>
    <row r="279" spans="1:11" ht="12.75">
      <c r="A279" s="73" t="str">
        <f t="shared" si="5"/>
        <v>30/10/2020</v>
      </c>
      <c r="B279" s="74"/>
      <c r="C279" s="75"/>
      <c r="D279" s="85" t="s">
        <v>601</v>
      </c>
      <c r="E279" s="74" t="s">
        <v>718</v>
      </c>
      <c r="F279" s="76" t="s">
        <v>935</v>
      </c>
      <c r="G279" s="139" t="s">
        <v>1145</v>
      </c>
      <c r="H279" s="83" t="s">
        <v>74</v>
      </c>
      <c r="I279" s="83" t="s">
        <v>414</v>
      </c>
      <c r="J279" s="82"/>
      <c r="K279" s="88">
        <v>2500000</v>
      </c>
    </row>
    <row r="280" spans="1:11" ht="12.75">
      <c r="A280" s="73" t="str">
        <f t="shared" si="5"/>
        <v>30/10/2020</v>
      </c>
      <c r="B280" s="74"/>
      <c r="C280" s="75"/>
      <c r="D280" s="85" t="s">
        <v>601</v>
      </c>
      <c r="E280" s="74" t="s">
        <v>718</v>
      </c>
      <c r="F280" s="76" t="s">
        <v>935</v>
      </c>
      <c r="G280" s="139" t="s">
        <v>1145</v>
      </c>
      <c r="H280" s="83" t="s">
        <v>88</v>
      </c>
      <c r="I280" s="83" t="s">
        <v>414</v>
      </c>
      <c r="J280" s="82"/>
      <c r="K280" s="88">
        <v>7868299.666666667</v>
      </c>
    </row>
    <row r="281" spans="1:11" ht="12.75">
      <c r="A281" s="73" t="str">
        <f t="shared" si="5"/>
        <v>30/10/2020</v>
      </c>
      <c r="B281" s="74"/>
      <c r="C281" s="75"/>
      <c r="D281" s="85" t="s">
        <v>601</v>
      </c>
      <c r="E281" s="74" t="s">
        <v>718</v>
      </c>
      <c r="F281" s="76" t="s">
        <v>935</v>
      </c>
      <c r="G281" s="139" t="s">
        <v>1145</v>
      </c>
      <c r="H281" s="87" t="s">
        <v>46</v>
      </c>
      <c r="I281" s="83" t="s">
        <v>416</v>
      </c>
      <c r="J281" s="82"/>
      <c r="K281" s="88">
        <v>4166666.6666666665</v>
      </c>
    </row>
    <row r="282" spans="1:11" ht="12.75">
      <c r="A282" s="73" t="str">
        <f t="shared" si="5"/>
        <v>30/10/2020</v>
      </c>
      <c r="B282" s="74"/>
      <c r="C282" s="75"/>
      <c r="D282" s="85" t="s">
        <v>601</v>
      </c>
      <c r="E282" s="74" t="s">
        <v>718</v>
      </c>
      <c r="F282" s="76" t="s">
        <v>935</v>
      </c>
      <c r="G282" s="139" t="s">
        <v>1145</v>
      </c>
      <c r="H282" s="83" t="s">
        <v>74</v>
      </c>
      <c r="I282" s="83" t="s">
        <v>418</v>
      </c>
      <c r="J282" s="82"/>
      <c r="K282" s="88">
        <v>6895161</v>
      </c>
    </row>
    <row r="283" spans="1:11" ht="12.75">
      <c r="A283" s="73" t="str">
        <f t="shared" si="5"/>
        <v>30/10/2020</v>
      </c>
      <c r="B283" s="74"/>
      <c r="C283" s="75"/>
      <c r="D283" s="74" t="s">
        <v>602</v>
      </c>
      <c r="E283" s="74" t="s">
        <v>686</v>
      </c>
      <c r="F283" s="76" t="s">
        <v>935</v>
      </c>
      <c r="G283" s="139" t="s">
        <v>1146</v>
      </c>
      <c r="H283" s="83" t="s">
        <v>809</v>
      </c>
      <c r="I283" s="83" t="s">
        <v>743</v>
      </c>
      <c r="J283" s="82"/>
      <c r="K283" s="82">
        <v>30000000</v>
      </c>
    </row>
    <row r="284" spans="1:11" ht="12.75">
      <c r="A284" s="73" t="str">
        <f t="shared" si="5"/>
        <v>30/10/2020</v>
      </c>
      <c r="B284" s="74"/>
      <c r="C284" s="75"/>
      <c r="D284" s="74" t="s">
        <v>603</v>
      </c>
      <c r="E284" s="74" t="s">
        <v>719</v>
      </c>
      <c r="F284" s="76" t="s">
        <v>935</v>
      </c>
      <c r="G284" s="139" t="s">
        <v>1147</v>
      </c>
      <c r="H284" s="83" t="s">
        <v>52</v>
      </c>
      <c r="I284" s="83" t="s">
        <v>809</v>
      </c>
      <c r="J284" s="82"/>
      <c r="K284" s="90">
        <v>5000000</v>
      </c>
    </row>
    <row r="285" spans="1:11" ht="12.75">
      <c r="A285" s="73" t="str">
        <f t="shared" si="5"/>
        <v>30/10/2020</v>
      </c>
      <c r="B285" s="74"/>
      <c r="C285" s="75"/>
      <c r="D285" s="74" t="s">
        <v>603</v>
      </c>
      <c r="E285" s="74" t="s">
        <v>719</v>
      </c>
      <c r="F285" s="76" t="s">
        <v>935</v>
      </c>
      <c r="G285" s="139" t="s">
        <v>1148</v>
      </c>
      <c r="H285" s="83" t="s">
        <v>42</v>
      </c>
      <c r="I285" s="83" t="s">
        <v>885</v>
      </c>
      <c r="J285" s="82"/>
      <c r="K285" s="90">
        <v>2500000</v>
      </c>
    </row>
    <row r="286" spans="1:11" ht="12.75">
      <c r="A286" s="73" t="str">
        <f t="shared" si="5"/>
        <v>31/10/2020</v>
      </c>
      <c r="B286" s="75"/>
      <c r="C286" s="75"/>
      <c r="D286" s="74" t="s">
        <v>604</v>
      </c>
      <c r="E286" s="74" t="s">
        <v>686</v>
      </c>
      <c r="F286" s="76" t="s">
        <v>936</v>
      </c>
      <c r="G286" s="74" t="s">
        <v>1149</v>
      </c>
      <c r="H286" s="78" t="s">
        <v>60</v>
      </c>
      <c r="I286" s="78" t="s">
        <v>36</v>
      </c>
      <c r="J286" s="79"/>
      <c r="K286" s="82">
        <v>24407500</v>
      </c>
    </row>
    <row r="287" spans="1:11" ht="12.75">
      <c r="A287" s="73" t="str">
        <f t="shared" si="5"/>
        <v>31/10/2020</v>
      </c>
      <c r="B287" s="75"/>
      <c r="C287" s="75"/>
      <c r="D287" s="74" t="s">
        <v>604</v>
      </c>
      <c r="E287" s="74" t="s">
        <v>686</v>
      </c>
      <c r="F287" s="76" t="s">
        <v>936</v>
      </c>
      <c r="G287" s="74" t="s">
        <v>1149</v>
      </c>
      <c r="H287" s="78" t="s">
        <v>60</v>
      </c>
      <c r="I287" s="78" t="s">
        <v>40</v>
      </c>
      <c r="J287" s="79"/>
      <c r="K287" s="82">
        <v>56231869</v>
      </c>
    </row>
    <row r="288" spans="1:11" ht="12.75">
      <c r="A288" s="73" t="str">
        <f t="shared" si="5"/>
        <v>31/10/2020</v>
      </c>
      <c r="B288" s="75"/>
      <c r="C288" s="75"/>
      <c r="D288" s="74" t="s">
        <v>604</v>
      </c>
      <c r="E288" s="74" t="s">
        <v>686</v>
      </c>
      <c r="F288" s="76" t="s">
        <v>936</v>
      </c>
      <c r="G288" s="74" t="s">
        <v>1149</v>
      </c>
      <c r="H288" s="78" t="s">
        <v>60</v>
      </c>
      <c r="I288" s="78" t="s">
        <v>44</v>
      </c>
      <c r="J288" s="79"/>
      <c r="K288" s="82">
        <v>2082500</v>
      </c>
    </row>
    <row r="289" spans="1:11" ht="12.75">
      <c r="A289" s="73" t="str">
        <f t="shared" si="5"/>
        <v>31/10/2020</v>
      </c>
      <c r="B289" s="75"/>
      <c r="C289" s="75"/>
      <c r="D289" s="74" t="s">
        <v>604</v>
      </c>
      <c r="E289" s="74" t="s">
        <v>686</v>
      </c>
      <c r="F289" s="76" t="s">
        <v>936</v>
      </c>
      <c r="G289" s="74" t="s">
        <v>1149</v>
      </c>
      <c r="H289" s="78" t="s">
        <v>60</v>
      </c>
      <c r="I289" s="78" t="s">
        <v>48</v>
      </c>
      <c r="J289" s="79"/>
      <c r="K289" s="82">
        <v>11500000</v>
      </c>
    </row>
    <row r="290" spans="1:11" ht="12.75">
      <c r="A290" s="73" t="str">
        <f>F290</f>
        <v>31/10/2020</v>
      </c>
      <c r="B290" s="75"/>
      <c r="C290" s="75"/>
      <c r="D290" s="74" t="s">
        <v>604</v>
      </c>
      <c r="E290" s="74" t="s">
        <v>686</v>
      </c>
      <c r="F290" s="76" t="s">
        <v>936</v>
      </c>
      <c r="G290" s="74" t="s">
        <v>1149</v>
      </c>
      <c r="H290" s="78" t="s">
        <v>60</v>
      </c>
      <c r="I290" s="78" t="s">
        <v>52</v>
      </c>
      <c r="J290" s="79"/>
      <c r="K290" s="82">
        <v>5000000</v>
      </c>
    </row>
    <row r="291" spans="1:11" ht="12.75">
      <c r="A291" s="73" t="str">
        <f t="shared" si="5"/>
        <v>31/10/2020</v>
      </c>
      <c r="B291" s="75"/>
      <c r="C291" s="75"/>
      <c r="D291" s="74" t="s">
        <v>605</v>
      </c>
      <c r="E291" s="74" t="s">
        <v>686</v>
      </c>
      <c r="F291" s="76" t="s">
        <v>936</v>
      </c>
      <c r="G291" s="74" t="s">
        <v>1150</v>
      </c>
      <c r="H291" s="78" t="s">
        <v>404</v>
      </c>
      <c r="I291" s="78" t="s">
        <v>29</v>
      </c>
      <c r="J291" s="79"/>
      <c r="K291" s="82">
        <v>56570100</v>
      </c>
    </row>
    <row r="292" spans="1:11" ht="12.75">
      <c r="A292" s="73" t="str">
        <f t="shared" si="5"/>
        <v>31/10/2020</v>
      </c>
      <c r="B292" s="75"/>
      <c r="C292" s="75"/>
      <c r="D292" s="74" t="s">
        <v>605</v>
      </c>
      <c r="E292" s="74" t="s">
        <v>686</v>
      </c>
      <c r="F292" s="76" t="s">
        <v>936</v>
      </c>
      <c r="G292" s="74" t="s">
        <v>1150</v>
      </c>
      <c r="H292" s="78" t="s">
        <v>404</v>
      </c>
      <c r="I292" s="78" t="s">
        <v>33</v>
      </c>
      <c r="J292" s="79"/>
      <c r="K292" s="82">
        <v>32871166.666666664</v>
      </c>
    </row>
    <row r="293" spans="1:11" ht="12.75">
      <c r="A293" s="73" t="str">
        <f t="shared" si="5"/>
        <v>31/10/2020</v>
      </c>
      <c r="B293" s="75"/>
      <c r="C293" s="75"/>
      <c r="D293" s="74" t="s">
        <v>605</v>
      </c>
      <c r="E293" s="74" t="s">
        <v>686</v>
      </c>
      <c r="F293" s="76" t="s">
        <v>936</v>
      </c>
      <c r="G293" s="74" t="s">
        <v>1150</v>
      </c>
      <c r="H293" s="78" t="s">
        <v>404</v>
      </c>
      <c r="I293" s="78" t="s">
        <v>60</v>
      </c>
      <c r="J293" s="79"/>
      <c r="K293" s="82">
        <v>99221869</v>
      </c>
    </row>
    <row r="294" spans="1:11" ht="12.75">
      <c r="A294" s="73" t="str">
        <f t="shared" si="5"/>
        <v>31/10/2020</v>
      </c>
      <c r="B294" s="75"/>
      <c r="C294" s="75"/>
      <c r="D294" s="74" t="s">
        <v>606</v>
      </c>
      <c r="E294" s="74" t="s">
        <v>687</v>
      </c>
      <c r="F294" s="76" t="s">
        <v>936</v>
      </c>
      <c r="G294" s="74" t="s">
        <v>1151</v>
      </c>
      <c r="H294" s="78" t="s">
        <v>50</v>
      </c>
      <c r="I294" s="78" t="s">
        <v>404</v>
      </c>
      <c r="J294" s="79"/>
      <c r="K294" s="82">
        <v>141497351.75</v>
      </c>
    </row>
    <row r="295" spans="1:11" ht="12.75">
      <c r="A295" s="73" t="str">
        <f t="shared" si="5"/>
        <v>31/10/2020</v>
      </c>
      <c r="B295" s="75"/>
      <c r="C295" s="75"/>
      <c r="D295" s="74" t="s">
        <v>606</v>
      </c>
      <c r="E295" s="74" t="s">
        <v>687</v>
      </c>
      <c r="F295" s="76" t="s">
        <v>936</v>
      </c>
      <c r="G295" s="74" t="s">
        <v>1152</v>
      </c>
      <c r="H295" s="78" t="s">
        <v>94</v>
      </c>
      <c r="I295" s="78" t="s">
        <v>404</v>
      </c>
      <c r="J295" s="79"/>
      <c r="K295" s="82">
        <v>47165783.916666664</v>
      </c>
    </row>
    <row r="296" spans="1:11" ht="12.75">
      <c r="A296" s="73" t="str">
        <f t="shared" si="5"/>
        <v>31/10/2020</v>
      </c>
      <c r="B296" s="75"/>
      <c r="C296" s="75"/>
      <c r="D296" s="74" t="s">
        <v>607</v>
      </c>
      <c r="E296" s="74" t="s">
        <v>686</v>
      </c>
      <c r="F296" s="76" t="s">
        <v>936</v>
      </c>
      <c r="G296" s="74" t="s">
        <v>1153</v>
      </c>
      <c r="H296" s="78" t="s">
        <v>58</v>
      </c>
      <c r="I296" s="78" t="s">
        <v>34</v>
      </c>
      <c r="J296" s="79"/>
      <c r="K296" s="82">
        <v>25678000</v>
      </c>
    </row>
    <row r="297" spans="1:11" ht="12.75">
      <c r="A297" s="73" t="str">
        <f t="shared" si="5"/>
        <v>31/10/2020</v>
      </c>
      <c r="B297" s="75"/>
      <c r="C297" s="75"/>
      <c r="D297" s="74" t="s">
        <v>607</v>
      </c>
      <c r="E297" s="74" t="s">
        <v>686</v>
      </c>
      <c r="F297" s="76" t="s">
        <v>936</v>
      </c>
      <c r="G297" s="74" t="s">
        <v>1153</v>
      </c>
      <c r="H297" s="78" t="s">
        <v>58</v>
      </c>
      <c r="I297" s="78" t="s">
        <v>38</v>
      </c>
      <c r="J297" s="79"/>
      <c r="K297" s="82">
        <v>32372114</v>
      </c>
    </row>
    <row r="298" spans="1:11" ht="12.75">
      <c r="A298" s="73" t="str">
        <f t="shared" si="5"/>
        <v>31/10/2020</v>
      </c>
      <c r="B298" s="75"/>
      <c r="C298" s="75"/>
      <c r="D298" s="74" t="s">
        <v>607</v>
      </c>
      <c r="E298" s="74" t="s">
        <v>686</v>
      </c>
      <c r="F298" s="76" t="s">
        <v>936</v>
      </c>
      <c r="G298" s="74" t="s">
        <v>1153</v>
      </c>
      <c r="H298" s="78" t="s">
        <v>58</v>
      </c>
      <c r="I298" s="78" t="s">
        <v>42</v>
      </c>
      <c r="J298" s="80"/>
      <c r="K298" s="82">
        <v>2500000</v>
      </c>
    </row>
    <row r="299" spans="1:11" ht="12.75">
      <c r="A299" s="73" t="str">
        <f t="shared" si="5"/>
        <v>31/10/2020</v>
      </c>
      <c r="B299" s="75"/>
      <c r="C299" s="75"/>
      <c r="D299" s="74" t="s">
        <v>607</v>
      </c>
      <c r="E299" s="74" t="s">
        <v>686</v>
      </c>
      <c r="F299" s="76" t="s">
        <v>936</v>
      </c>
      <c r="G299" s="74" t="s">
        <v>1153</v>
      </c>
      <c r="H299" s="78" t="s">
        <v>58</v>
      </c>
      <c r="I299" s="78" t="s">
        <v>46</v>
      </c>
      <c r="J299" s="79"/>
      <c r="K299" s="82">
        <v>20390053.666666668</v>
      </c>
    </row>
    <row r="300" spans="1:11" ht="12.75">
      <c r="A300" s="73" t="str">
        <f t="shared" si="5"/>
        <v>31/10/2020</v>
      </c>
      <c r="B300" s="75"/>
      <c r="C300" s="75"/>
      <c r="D300" s="74" t="s">
        <v>607</v>
      </c>
      <c r="E300" s="74" t="s">
        <v>686</v>
      </c>
      <c r="F300" s="76" t="s">
        <v>936</v>
      </c>
      <c r="G300" s="74" t="s">
        <v>1153</v>
      </c>
      <c r="H300" s="78" t="s">
        <v>58</v>
      </c>
      <c r="I300" s="78" t="s">
        <v>50</v>
      </c>
      <c r="J300" s="79"/>
      <c r="K300" s="82">
        <v>142697351.75</v>
      </c>
    </row>
    <row r="301" spans="1:11" ht="12.75">
      <c r="A301" s="73" t="str">
        <f t="shared" si="5"/>
        <v>31/10/2020</v>
      </c>
      <c r="B301" s="75"/>
      <c r="C301" s="74" t="s">
        <v>323</v>
      </c>
      <c r="D301" s="74"/>
      <c r="E301" s="74" t="s">
        <v>688</v>
      </c>
      <c r="F301" s="76" t="s">
        <v>936</v>
      </c>
      <c r="G301" s="141" t="s">
        <v>1154</v>
      </c>
      <c r="H301" s="80" t="s">
        <v>396</v>
      </c>
      <c r="I301" s="78" t="s">
        <v>26</v>
      </c>
      <c r="J301" s="79">
        <v>45</v>
      </c>
      <c r="K301" s="90">
        <v>836325</v>
      </c>
    </row>
    <row r="302" spans="1:11" ht="12.75">
      <c r="A302" s="73" t="str">
        <f t="shared" si="5"/>
        <v>31/10/2020</v>
      </c>
      <c r="B302" s="75"/>
      <c r="C302" s="75"/>
      <c r="D302" s="74" t="s">
        <v>608</v>
      </c>
      <c r="E302" s="74" t="s">
        <v>686</v>
      </c>
      <c r="F302" s="76" t="s">
        <v>936</v>
      </c>
      <c r="G302" s="74" t="s">
        <v>1155</v>
      </c>
      <c r="H302" s="78" t="s">
        <v>402</v>
      </c>
      <c r="I302" s="78" t="s">
        <v>26</v>
      </c>
      <c r="J302" s="79"/>
      <c r="K302" s="82">
        <v>543572175</v>
      </c>
    </row>
    <row r="303" spans="1:11" ht="12.75">
      <c r="A303" s="73" t="str">
        <f t="shared" si="5"/>
        <v>31/10/2020</v>
      </c>
      <c r="B303" s="75"/>
      <c r="C303" s="75"/>
      <c r="D303" s="74" t="s">
        <v>608</v>
      </c>
      <c r="E303" s="74" t="s">
        <v>686</v>
      </c>
      <c r="F303" s="76" t="s">
        <v>936</v>
      </c>
      <c r="G303" s="74" t="s">
        <v>1155</v>
      </c>
      <c r="H303" s="78" t="s">
        <v>402</v>
      </c>
      <c r="I303" s="78" t="s">
        <v>30</v>
      </c>
      <c r="J303" s="79"/>
      <c r="K303" s="82">
        <v>68070166.66666666</v>
      </c>
    </row>
    <row r="304" spans="1:11" ht="12.75">
      <c r="A304" s="73" t="str">
        <f t="shared" si="5"/>
        <v>31/10/2020</v>
      </c>
      <c r="B304" s="75"/>
      <c r="C304" s="74"/>
      <c r="D304" s="74" t="s">
        <v>609</v>
      </c>
      <c r="E304" s="74" t="s">
        <v>688</v>
      </c>
      <c r="F304" s="76" t="s">
        <v>936</v>
      </c>
      <c r="G304" s="141" t="s">
        <v>1156</v>
      </c>
      <c r="H304" s="78" t="s">
        <v>27</v>
      </c>
      <c r="I304" s="78" t="s">
        <v>397</v>
      </c>
      <c r="J304" s="91">
        <v>-2000</v>
      </c>
      <c r="K304" s="90">
        <v>-21302000</v>
      </c>
    </row>
    <row r="305" spans="1:11" ht="12.75">
      <c r="A305" s="73" t="str">
        <f t="shared" si="5"/>
        <v>31/10/2020</v>
      </c>
      <c r="B305" s="75"/>
      <c r="C305" s="75"/>
      <c r="D305" s="74" t="s">
        <v>610</v>
      </c>
      <c r="E305" s="74" t="s">
        <v>686</v>
      </c>
      <c r="F305" s="76" t="s">
        <v>936</v>
      </c>
      <c r="G305" s="74" t="s">
        <v>1155</v>
      </c>
      <c r="H305" s="78" t="s">
        <v>403</v>
      </c>
      <c r="I305" s="78" t="s">
        <v>27</v>
      </c>
      <c r="J305" s="79"/>
      <c r="K305" s="82">
        <v>567710500</v>
      </c>
    </row>
    <row r="306" spans="1:11" ht="12.75">
      <c r="A306" s="73" t="str">
        <f t="shared" si="5"/>
        <v>31/10/2020</v>
      </c>
      <c r="B306" s="75"/>
      <c r="C306" s="75"/>
      <c r="D306" s="74" t="s">
        <v>610</v>
      </c>
      <c r="E306" s="74" t="s">
        <v>686</v>
      </c>
      <c r="F306" s="76" t="s">
        <v>936</v>
      </c>
      <c r="G306" s="74" t="s">
        <v>1155</v>
      </c>
      <c r="H306" s="78" t="s">
        <v>403</v>
      </c>
      <c r="I306" s="78" t="s">
        <v>31</v>
      </c>
      <c r="J306" s="79"/>
      <c r="K306" s="82">
        <v>90562444.44444445</v>
      </c>
    </row>
    <row r="307" spans="1:11" ht="12.75">
      <c r="A307" s="73" t="str">
        <f t="shared" si="5"/>
        <v>31/10/2020</v>
      </c>
      <c r="B307" s="75"/>
      <c r="C307" s="75"/>
      <c r="D307" s="74" t="s">
        <v>611</v>
      </c>
      <c r="E307" s="74" t="s">
        <v>687</v>
      </c>
      <c r="F307" s="76" t="s">
        <v>936</v>
      </c>
      <c r="G307" s="74" t="s">
        <v>1157</v>
      </c>
      <c r="H307" s="78" t="s">
        <v>402</v>
      </c>
      <c r="I307" s="78" t="s">
        <v>58</v>
      </c>
      <c r="J307" s="79"/>
      <c r="K307" s="82">
        <v>89455007.76666668</v>
      </c>
    </row>
    <row r="308" spans="1:11" ht="12.75">
      <c r="A308" s="73" t="str">
        <f t="shared" si="5"/>
        <v>31/10/2020</v>
      </c>
      <c r="B308" s="75"/>
      <c r="C308" s="75"/>
      <c r="D308" s="74" t="s">
        <v>611</v>
      </c>
      <c r="E308" s="74" t="s">
        <v>687</v>
      </c>
      <c r="F308" s="76" t="s">
        <v>936</v>
      </c>
      <c r="G308" s="74" t="s">
        <v>1158</v>
      </c>
      <c r="H308" s="78" t="s">
        <v>403</v>
      </c>
      <c r="I308" s="78" t="s">
        <v>58</v>
      </c>
      <c r="J308" s="79"/>
      <c r="K308" s="82">
        <v>134182511.65</v>
      </c>
    </row>
    <row r="309" spans="1:11" ht="12.75">
      <c r="A309" s="73" t="str">
        <f t="shared" si="5"/>
        <v>31/10/2020</v>
      </c>
      <c r="B309" s="75"/>
      <c r="C309" s="75"/>
      <c r="D309" s="74" t="s">
        <v>612</v>
      </c>
      <c r="E309" s="74" t="s">
        <v>686</v>
      </c>
      <c r="F309" s="76" t="s">
        <v>936</v>
      </c>
      <c r="G309" s="74" t="s">
        <v>1159</v>
      </c>
      <c r="H309" s="83" t="s">
        <v>15</v>
      </c>
      <c r="I309" s="83" t="s">
        <v>755</v>
      </c>
      <c r="J309" s="79"/>
      <c r="K309" s="82">
        <v>5655000</v>
      </c>
    </row>
    <row r="310" spans="1:11" ht="12.75">
      <c r="A310" s="73" t="str">
        <f t="shared" si="5"/>
        <v>31/10/2020</v>
      </c>
      <c r="B310" s="75"/>
      <c r="C310" s="75"/>
      <c r="D310" s="74" t="s">
        <v>613</v>
      </c>
      <c r="E310" s="74" t="s">
        <v>686</v>
      </c>
      <c r="F310" s="76" t="s">
        <v>936</v>
      </c>
      <c r="G310" s="74" t="s">
        <v>1160</v>
      </c>
      <c r="H310" s="83" t="s">
        <v>15</v>
      </c>
      <c r="I310" s="83" t="s">
        <v>102</v>
      </c>
      <c r="J310" s="79"/>
      <c r="K310" s="82">
        <v>1016455000</v>
      </c>
    </row>
    <row r="311" spans="1:11" ht="12.75">
      <c r="A311" s="73" t="str">
        <f t="shared" si="5"/>
        <v>31/10/2020</v>
      </c>
      <c r="B311" s="75"/>
      <c r="C311" s="75"/>
      <c r="D311" s="74" t="s">
        <v>614</v>
      </c>
      <c r="E311" s="74" t="s">
        <v>686</v>
      </c>
      <c r="F311" s="76" t="s">
        <v>936</v>
      </c>
      <c r="G311" s="74" t="s">
        <v>1161</v>
      </c>
      <c r="H311" s="78" t="s">
        <v>102</v>
      </c>
      <c r="I311" s="78" t="s">
        <v>62</v>
      </c>
      <c r="J311" s="79"/>
      <c r="K311" s="82">
        <v>810857050</v>
      </c>
    </row>
    <row r="312" spans="1:11" ht="12.75">
      <c r="A312" s="73" t="str">
        <f t="shared" si="5"/>
        <v>31/10/2020</v>
      </c>
      <c r="B312" s="75"/>
      <c r="C312" s="75"/>
      <c r="D312" s="74" t="s">
        <v>614</v>
      </c>
      <c r="E312" s="74" t="s">
        <v>686</v>
      </c>
      <c r="F312" s="76" t="s">
        <v>936</v>
      </c>
      <c r="G312" s="74" t="s">
        <v>1162</v>
      </c>
      <c r="H312" s="78" t="s">
        <v>102</v>
      </c>
      <c r="I312" s="78" t="s">
        <v>68</v>
      </c>
      <c r="J312" s="79"/>
      <c r="K312" s="82">
        <v>47578574.074074075</v>
      </c>
    </row>
    <row r="313" spans="1:11" ht="12.75">
      <c r="A313" s="73" t="str">
        <f t="shared" si="5"/>
        <v>31/10/2020</v>
      </c>
      <c r="B313" s="75"/>
      <c r="C313" s="75"/>
      <c r="D313" s="74" t="s">
        <v>614</v>
      </c>
      <c r="E313" s="74" t="s">
        <v>686</v>
      </c>
      <c r="F313" s="76" t="s">
        <v>936</v>
      </c>
      <c r="G313" s="74" t="s">
        <v>1162</v>
      </c>
      <c r="H313" s="78" t="s">
        <v>102</v>
      </c>
      <c r="I313" s="78" t="s">
        <v>70</v>
      </c>
      <c r="J313" s="79"/>
      <c r="K313" s="82">
        <v>7029660</v>
      </c>
    </row>
    <row r="314" spans="1:11" ht="12.75">
      <c r="A314" s="73" t="str">
        <f t="shared" si="5"/>
        <v>31/10/2020</v>
      </c>
      <c r="B314" s="75"/>
      <c r="C314" s="75"/>
      <c r="D314" s="74" t="s">
        <v>614</v>
      </c>
      <c r="E314" s="74" t="s">
        <v>686</v>
      </c>
      <c r="F314" s="76" t="s">
        <v>936</v>
      </c>
      <c r="G314" s="74" t="s">
        <v>1162</v>
      </c>
      <c r="H314" s="78" t="s">
        <v>102</v>
      </c>
      <c r="I314" s="78" t="s">
        <v>74</v>
      </c>
      <c r="J314" s="79"/>
      <c r="K314" s="82">
        <v>9395161</v>
      </c>
    </row>
    <row r="315" spans="1:11" ht="12.75">
      <c r="A315" s="73" t="str">
        <f t="shared" si="5"/>
        <v>31/10/2020</v>
      </c>
      <c r="B315" s="75"/>
      <c r="C315" s="75"/>
      <c r="D315" s="74" t="s">
        <v>615</v>
      </c>
      <c r="E315" s="74" t="s">
        <v>686</v>
      </c>
      <c r="F315" s="76" t="s">
        <v>936</v>
      </c>
      <c r="G315" s="74" t="s">
        <v>1163</v>
      </c>
      <c r="H315" s="78" t="s">
        <v>102</v>
      </c>
      <c r="I315" s="78" t="s">
        <v>82</v>
      </c>
      <c r="J315" s="79"/>
      <c r="K315" s="82">
        <v>111510888.8888889</v>
      </c>
    </row>
    <row r="316" spans="1:11" ht="12.75">
      <c r="A316" s="73" t="str">
        <f t="shared" si="5"/>
        <v>31/10/2020</v>
      </c>
      <c r="B316" s="75"/>
      <c r="C316" s="75"/>
      <c r="D316" s="74" t="s">
        <v>615</v>
      </c>
      <c r="E316" s="74" t="s">
        <v>686</v>
      </c>
      <c r="F316" s="76" t="s">
        <v>936</v>
      </c>
      <c r="G316" s="74" t="s">
        <v>1163</v>
      </c>
      <c r="H316" s="78" t="s">
        <v>102</v>
      </c>
      <c r="I316" s="78" t="s">
        <v>84</v>
      </c>
      <c r="J316" s="79"/>
      <c r="K316" s="82">
        <v>7596095</v>
      </c>
    </row>
    <row r="317" spans="1:11" ht="12.75">
      <c r="A317" s="73" t="str">
        <f t="shared" si="5"/>
        <v>31/10/2020</v>
      </c>
      <c r="B317" s="75"/>
      <c r="C317" s="75"/>
      <c r="D317" s="74" t="s">
        <v>615</v>
      </c>
      <c r="E317" s="74" t="s">
        <v>686</v>
      </c>
      <c r="F317" s="76" t="s">
        <v>936</v>
      </c>
      <c r="G317" s="74" t="s">
        <v>1163</v>
      </c>
      <c r="H317" s="78" t="s">
        <v>102</v>
      </c>
      <c r="I317" s="78" t="s">
        <v>86</v>
      </c>
      <c r="J317" s="79"/>
      <c r="K317" s="82">
        <v>8012500</v>
      </c>
    </row>
    <row r="318" spans="1:11" ht="12.75">
      <c r="A318" s="73" t="str">
        <f t="shared" si="5"/>
        <v>31/10/2020</v>
      </c>
      <c r="B318" s="75"/>
      <c r="C318" s="75"/>
      <c r="D318" s="74" t="s">
        <v>615</v>
      </c>
      <c r="E318" s="74" t="s">
        <v>686</v>
      </c>
      <c r="F318" s="76" t="s">
        <v>936</v>
      </c>
      <c r="G318" s="74" t="s">
        <v>1163</v>
      </c>
      <c r="H318" s="78" t="s">
        <v>102</v>
      </c>
      <c r="I318" s="78" t="s">
        <v>88</v>
      </c>
      <c r="J318" s="79"/>
      <c r="K318" s="82">
        <v>7868299.666666667</v>
      </c>
    </row>
    <row r="319" spans="1:11" ht="12.75">
      <c r="A319" s="73" t="str">
        <f t="shared" si="5"/>
        <v>31/10/2020</v>
      </c>
      <c r="B319" s="75"/>
      <c r="C319" s="75"/>
      <c r="D319" s="74" t="s">
        <v>615</v>
      </c>
      <c r="E319" s="74" t="s">
        <v>686</v>
      </c>
      <c r="F319" s="76" t="s">
        <v>936</v>
      </c>
      <c r="G319" s="74" t="s">
        <v>1163</v>
      </c>
      <c r="H319" s="78" t="s">
        <v>102</v>
      </c>
      <c r="I319" s="78" t="s">
        <v>90</v>
      </c>
      <c r="J319" s="79"/>
      <c r="K319" s="82">
        <v>1500000</v>
      </c>
    </row>
    <row r="320" spans="1:11" ht="12.75">
      <c r="A320" s="73" t="str">
        <f t="shared" si="5"/>
        <v>31/10/2020</v>
      </c>
      <c r="B320" s="75"/>
      <c r="C320" s="75"/>
      <c r="D320" s="74" t="s">
        <v>615</v>
      </c>
      <c r="E320" s="74" t="s">
        <v>686</v>
      </c>
      <c r="F320" s="76" t="s">
        <v>936</v>
      </c>
      <c r="G320" s="74" t="s">
        <v>1163</v>
      </c>
      <c r="H320" s="78" t="s">
        <v>102</v>
      </c>
      <c r="I320" s="78" t="s">
        <v>92</v>
      </c>
      <c r="J320" s="79"/>
      <c r="K320" s="82">
        <v>5500000</v>
      </c>
    </row>
    <row r="321" spans="1:11" ht="12.75">
      <c r="A321" s="73" t="str">
        <f t="shared" si="5"/>
        <v>31/10/2020</v>
      </c>
      <c r="B321" s="75"/>
      <c r="C321" s="75"/>
      <c r="D321" s="74" t="s">
        <v>615</v>
      </c>
      <c r="E321" s="74" t="s">
        <v>686</v>
      </c>
      <c r="F321" s="76" t="s">
        <v>936</v>
      </c>
      <c r="G321" s="74" t="s">
        <v>1163</v>
      </c>
      <c r="H321" s="78" t="s">
        <v>102</v>
      </c>
      <c r="I321" s="78" t="s">
        <v>94</v>
      </c>
      <c r="J321" s="79"/>
      <c r="K321" s="82">
        <v>53365783.916666664</v>
      </c>
    </row>
    <row r="322" spans="1:11" ht="12.75">
      <c r="A322" s="73" t="str">
        <f t="shared" si="5"/>
        <v>31/10/2020</v>
      </c>
      <c r="B322" s="75"/>
      <c r="C322" s="75"/>
      <c r="D322" s="74" t="s">
        <v>615</v>
      </c>
      <c r="E322" s="74" t="s">
        <v>686</v>
      </c>
      <c r="F322" s="76" t="s">
        <v>936</v>
      </c>
      <c r="G322" s="74" t="s">
        <v>1163</v>
      </c>
      <c r="H322" s="78" t="s">
        <v>102</v>
      </c>
      <c r="I322" s="78" t="s">
        <v>96</v>
      </c>
      <c r="J322" s="79"/>
      <c r="K322" s="82">
        <v>11600000</v>
      </c>
    </row>
    <row r="323" spans="1:11" ht="12.75">
      <c r="A323" s="73" t="str">
        <f t="shared" si="5"/>
        <v>31/10/2020</v>
      </c>
      <c r="B323" s="75"/>
      <c r="C323" s="75"/>
      <c r="D323" s="74" t="s">
        <v>616</v>
      </c>
      <c r="E323" s="74" t="s">
        <v>686</v>
      </c>
      <c r="F323" s="76" t="s">
        <v>936</v>
      </c>
      <c r="G323" s="74" t="s">
        <v>1164</v>
      </c>
      <c r="H323" s="83" t="s">
        <v>22</v>
      </c>
      <c r="I323" s="83" t="s">
        <v>102</v>
      </c>
      <c r="J323" s="79"/>
      <c r="K323" s="82">
        <v>750000</v>
      </c>
    </row>
    <row r="324" spans="1:11" ht="12.75">
      <c r="A324" s="73" t="str">
        <f t="shared" si="5"/>
        <v>31/10/2020</v>
      </c>
      <c r="B324" s="75"/>
      <c r="C324" s="75"/>
      <c r="D324" s="74" t="s">
        <v>616</v>
      </c>
      <c r="E324" s="74" t="s">
        <v>686</v>
      </c>
      <c r="F324" s="76" t="s">
        <v>936</v>
      </c>
      <c r="G324" s="74" t="s">
        <v>1164</v>
      </c>
      <c r="H324" s="83" t="s">
        <v>23</v>
      </c>
      <c r="I324" s="83" t="s">
        <v>102</v>
      </c>
      <c r="J324" s="79"/>
      <c r="K324" s="82">
        <v>600000</v>
      </c>
    </row>
    <row r="325" spans="1:11" ht="12.75">
      <c r="A325" s="73" t="str">
        <f t="shared" si="5"/>
        <v>31/10/2020</v>
      </c>
      <c r="B325" s="75"/>
      <c r="C325" s="75"/>
      <c r="D325" s="74" t="s">
        <v>617</v>
      </c>
      <c r="E325" s="74" t="s">
        <v>686</v>
      </c>
      <c r="F325" s="76" t="s">
        <v>936</v>
      </c>
      <c r="G325" s="74" t="s">
        <v>1165</v>
      </c>
      <c r="H325" s="83" t="s">
        <v>97</v>
      </c>
      <c r="I325" s="83" t="s">
        <v>102</v>
      </c>
      <c r="J325" s="79"/>
      <c r="K325" s="82">
        <v>12000000</v>
      </c>
    </row>
    <row r="326" spans="1:11" ht="12.75">
      <c r="A326" s="73" t="str">
        <f t="shared" si="5"/>
        <v>31/10/2020</v>
      </c>
      <c r="B326" s="75"/>
      <c r="C326" s="75"/>
      <c r="D326" s="74" t="s">
        <v>617</v>
      </c>
      <c r="E326" s="74" t="s">
        <v>686</v>
      </c>
      <c r="F326" s="76" t="s">
        <v>936</v>
      </c>
      <c r="G326" s="74" t="s">
        <v>1165</v>
      </c>
      <c r="H326" s="83" t="s">
        <v>99</v>
      </c>
      <c r="I326" s="83" t="s">
        <v>102</v>
      </c>
      <c r="J326" s="79"/>
      <c r="K326" s="82">
        <v>1200000</v>
      </c>
    </row>
    <row r="327" spans="1:11" ht="12.75">
      <c r="A327" s="73" t="str">
        <f aca="true" t="shared" si="6" ref="A327:A332">F327</f>
        <v>31/10/2020</v>
      </c>
      <c r="B327" s="75"/>
      <c r="C327" s="75"/>
      <c r="D327" s="74" t="s">
        <v>618</v>
      </c>
      <c r="E327" s="74" t="s">
        <v>686</v>
      </c>
      <c r="F327" s="76" t="s">
        <v>936</v>
      </c>
      <c r="G327" s="74" t="s">
        <v>1166</v>
      </c>
      <c r="H327" s="78" t="s">
        <v>102</v>
      </c>
      <c r="I327" s="78" t="s">
        <v>64</v>
      </c>
      <c r="J327" s="79"/>
      <c r="K327" s="82">
        <v>1400000</v>
      </c>
    </row>
    <row r="328" spans="1:11" ht="12.75">
      <c r="A328" s="73" t="str">
        <f t="shared" si="6"/>
        <v>31/10/2020</v>
      </c>
      <c r="B328" s="75"/>
      <c r="C328" s="75"/>
      <c r="D328" s="74" t="s">
        <v>618</v>
      </c>
      <c r="E328" s="74" t="s">
        <v>686</v>
      </c>
      <c r="F328" s="76" t="s">
        <v>936</v>
      </c>
      <c r="G328" s="74" t="s">
        <v>1166</v>
      </c>
      <c r="H328" s="78" t="s">
        <v>102</v>
      </c>
      <c r="I328" s="78" t="s">
        <v>66</v>
      </c>
      <c r="J328" s="79"/>
      <c r="K328" s="82">
        <v>7000000</v>
      </c>
    </row>
    <row r="329" spans="1:11" ht="12.75">
      <c r="A329" s="73" t="str">
        <f t="shared" si="6"/>
        <v>31/10/2020</v>
      </c>
      <c r="B329" s="75"/>
      <c r="C329" s="75"/>
      <c r="D329" s="74" t="s">
        <v>619</v>
      </c>
      <c r="E329" s="74" t="s">
        <v>686</v>
      </c>
      <c r="F329" s="76" t="s">
        <v>936</v>
      </c>
      <c r="G329" s="74" t="s">
        <v>1167</v>
      </c>
      <c r="H329" s="78" t="s">
        <v>102</v>
      </c>
      <c r="I329" s="78" t="s">
        <v>101</v>
      </c>
      <c r="J329" s="79"/>
      <c r="K329" s="82">
        <v>29500000</v>
      </c>
    </row>
    <row r="330" spans="1:11" ht="12.75">
      <c r="A330" s="73" t="str">
        <f t="shared" si="6"/>
        <v>31/10/2020</v>
      </c>
      <c r="B330" s="75"/>
      <c r="C330" s="75"/>
      <c r="D330" s="74" t="s">
        <v>620</v>
      </c>
      <c r="E330" s="74" t="s">
        <v>686</v>
      </c>
      <c r="F330" s="76" t="s">
        <v>936</v>
      </c>
      <c r="G330" s="74" t="s">
        <v>1168</v>
      </c>
      <c r="H330" s="80" t="s">
        <v>482</v>
      </c>
      <c r="I330" s="80" t="s">
        <v>457</v>
      </c>
      <c r="J330" s="79"/>
      <c r="K330" s="82"/>
    </row>
    <row r="331" spans="1:11" ht="12.75">
      <c r="A331" s="73" t="str">
        <f t="shared" si="6"/>
        <v>31/10/2020</v>
      </c>
      <c r="B331" s="75"/>
      <c r="C331" s="75"/>
      <c r="D331" s="74" t="s">
        <v>621</v>
      </c>
      <c r="E331" s="74" t="s">
        <v>686</v>
      </c>
      <c r="F331" s="76" t="s">
        <v>936</v>
      </c>
      <c r="G331" s="74" t="s">
        <v>1169</v>
      </c>
      <c r="H331" s="80" t="s">
        <v>102</v>
      </c>
      <c r="I331" s="80" t="s">
        <v>482</v>
      </c>
      <c r="J331" s="79"/>
      <c r="K331" s="82"/>
    </row>
    <row r="332" spans="1:11" ht="12.75">
      <c r="A332" s="73" t="str">
        <f t="shared" si="6"/>
        <v>31/10/2020</v>
      </c>
      <c r="B332" s="75"/>
      <c r="C332" s="75"/>
      <c r="D332" s="74" t="s">
        <v>622</v>
      </c>
      <c r="E332" s="74" t="s">
        <v>686</v>
      </c>
      <c r="F332" s="76" t="s">
        <v>936</v>
      </c>
      <c r="G332" s="74" t="s">
        <v>1170</v>
      </c>
      <c r="H332" s="78" t="s">
        <v>4</v>
      </c>
      <c r="I332" s="78" t="s">
        <v>102</v>
      </c>
      <c r="J332" s="79"/>
      <c r="K332" s="92">
        <v>88709012.54629612</v>
      </c>
    </row>
    <row r="333" spans="3:6" ht="12.75">
      <c r="C333" s="66"/>
      <c r="D333" s="66"/>
      <c r="E333" s="66"/>
      <c r="F333" s="66"/>
    </row>
  </sheetData>
  <sheetProtection/>
  <mergeCells count="2">
    <mergeCell ref="H4:I4"/>
    <mergeCell ref="A2:K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P201"/>
  <sheetViews>
    <sheetView showGridLines="0" zoomScale="89" zoomScaleNormal="89" zoomScalePageLayoutView="0" workbookViewId="0" topLeftCell="A1">
      <selection activeCell="A11" sqref="A11:J11"/>
    </sheetView>
  </sheetViews>
  <sheetFormatPr defaultColWidth="8.8515625" defaultRowHeight="12.75"/>
  <cols>
    <col min="1" max="1" width="3.8515625" style="0" customWidth="1"/>
    <col min="2" max="2" width="15.00390625" style="120" bestFit="1" customWidth="1"/>
    <col min="3" max="3" width="13.421875" style="120" customWidth="1"/>
    <col min="4" max="4" width="48.421875" style="104" customWidth="1"/>
    <col min="5" max="5" width="7.28125" style="105" customWidth="1"/>
    <col min="6" max="6" width="14.421875" style="105" customWidth="1"/>
    <col min="7" max="7" width="9.7109375" style="106" customWidth="1"/>
    <col min="8" max="8" width="16.421875" style="107" customWidth="1"/>
    <col min="9" max="10" width="14.8515625" style="104" bestFit="1" customWidth="1"/>
    <col min="11" max="11" width="12.8515625" style="104" customWidth="1"/>
    <col min="12" max="12" width="15.421875" style="104" customWidth="1"/>
    <col min="13" max="13" width="19.421875" style="104" customWidth="1"/>
    <col min="14" max="14" width="14.7109375" style="0" customWidth="1"/>
    <col min="15" max="15" width="12.421875" style="104" bestFit="1" customWidth="1"/>
    <col min="16" max="16" width="15.140625" style="104" customWidth="1"/>
  </cols>
  <sheetData>
    <row r="1" ht="18.75">
      <c r="A1" s="138" t="s">
        <v>1181</v>
      </c>
    </row>
    <row r="2" ht="12.75"/>
    <row r="3" spans="2:12" s="96" customFormat="1" ht="31.5" customHeight="1">
      <c r="B3" s="153" t="s">
        <v>937</v>
      </c>
      <c r="C3" s="153"/>
      <c r="D3" s="153"/>
      <c r="E3" s="153"/>
      <c r="F3" s="153"/>
      <c r="G3" s="153"/>
      <c r="H3" s="153"/>
      <c r="I3" s="153"/>
      <c r="J3" s="153"/>
      <c r="K3" s="153"/>
      <c r="L3" s="153"/>
    </row>
    <row r="4" spans="2:16" s="99" customFormat="1" ht="19.5" customHeight="1">
      <c r="B4" s="154" t="s">
        <v>104</v>
      </c>
      <c r="C4" s="155"/>
      <c r="D4" s="155"/>
      <c r="E4" s="155"/>
      <c r="F4" s="156"/>
      <c r="G4" s="97">
        <f aca="true" t="shared" si="0" ref="G4:L4">SUM(G6:G200)</f>
        <v>83311</v>
      </c>
      <c r="H4" s="98">
        <f t="shared" si="0"/>
        <v>15684818000</v>
      </c>
      <c r="I4" s="97">
        <f>SUM(I6:I200)</f>
        <v>14447662112.148144</v>
      </c>
      <c r="J4" s="97">
        <f t="shared" si="0"/>
        <v>14447662112.148144</v>
      </c>
      <c r="K4" s="97">
        <f t="shared" si="0"/>
        <v>0</v>
      </c>
      <c r="L4" s="97">
        <f t="shared" si="0"/>
        <v>21079597385.055557</v>
      </c>
      <c r="M4" s="97"/>
      <c r="N4" s="97"/>
      <c r="O4" s="97"/>
      <c r="P4" s="97"/>
    </row>
    <row r="5" spans="2:16" s="57" customFormat="1" ht="38.25">
      <c r="B5" s="121" t="s">
        <v>332</v>
      </c>
      <c r="C5" s="121" t="s">
        <v>333</v>
      </c>
      <c r="D5" s="122" t="s">
        <v>335</v>
      </c>
      <c r="E5" s="122" t="s">
        <v>334</v>
      </c>
      <c r="F5" s="122" t="s">
        <v>498</v>
      </c>
      <c r="G5" s="122" t="s">
        <v>336</v>
      </c>
      <c r="H5" s="123" t="s">
        <v>337</v>
      </c>
      <c r="I5" s="122" t="s">
        <v>338</v>
      </c>
      <c r="J5" s="122" t="s">
        <v>339</v>
      </c>
      <c r="K5" s="122" t="s">
        <v>330</v>
      </c>
      <c r="L5" s="122" t="s">
        <v>340</v>
      </c>
      <c r="M5" s="124" t="s">
        <v>341</v>
      </c>
      <c r="N5" s="124" t="s">
        <v>343</v>
      </c>
      <c r="O5" s="124" t="s">
        <v>331</v>
      </c>
      <c r="P5" s="124" t="s">
        <v>342</v>
      </c>
    </row>
    <row r="6" spans="2:16" ht="12.75">
      <c r="B6" s="115" t="s">
        <v>828</v>
      </c>
      <c r="C6" s="116" t="s">
        <v>344</v>
      </c>
      <c r="D6" s="109" t="s">
        <v>346</v>
      </c>
      <c r="E6" s="110" t="s">
        <v>345</v>
      </c>
      <c r="F6" s="110"/>
      <c r="G6" s="111"/>
      <c r="H6" s="103">
        <v>120000000</v>
      </c>
      <c r="I6" s="112">
        <v>266730000</v>
      </c>
      <c r="J6" s="112">
        <v>328095400</v>
      </c>
      <c r="K6" s="112"/>
      <c r="L6" s="112">
        <v>58634600</v>
      </c>
      <c r="M6" s="100"/>
      <c r="N6" s="100"/>
      <c r="O6" s="100"/>
      <c r="P6" s="100"/>
    </row>
    <row r="7" spans="2:16" ht="12.75">
      <c r="B7" s="115" t="s">
        <v>828</v>
      </c>
      <c r="C7" s="116" t="s">
        <v>189</v>
      </c>
      <c r="D7" s="109" t="s">
        <v>190</v>
      </c>
      <c r="E7" s="110" t="s">
        <v>345</v>
      </c>
      <c r="F7" s="110" t="s">
        <v>938</v>
      </c>
      <c r="G7" s="111">
        <v>3000</v>
      </c>
      <c r="H7" s="103">
        <f>3000*18900</f>
        <v>56700000</v>
      </c>
      <c r="I7" s="112">
        <v>20000000</v>
      </c>
      <c r="J7" s="112">
        <v>0</v>
      </c>
      <c r="K7" s="112"/>
      <c r="L7" s="112">
        <v>76700000</v>
      </c>
      <c r="M7" s="100"/>
      <c r="N7" s="100"/>
      <c r="O7" s="100"/>
      <c r="P7" s="100"/>
    </row>
    <row r="8" spans="2:16" ht="12.75">
      <c r="B8" s="115" t="s">
        <v>828</v>
      </c>
      <c r="C8" s="116" t="s">
        <v>347</v>
      </c>
      <c r="D8" s="109" t="s">
        <v>348</v>
      </c>
      <c r="E8" s="110" t="s">
        <v>345</v>
      </c>
      <c r="F8" s="110"/>
      <c r="G8" s="111"/>
      <c r="H8" s="103">
        <v>680000000</v>
      </c>
      <c r="I8" s="112">
        <v>201850000</v>
      </c>
      <c r="J8" s="112">
        <v>693620000</v>
      </c>
      <c r="K8" s="112"/>
      <c r="L8" s="112">
        <v>188230000</v>
      </c>
      <c r="M8" s="100"/>
      <c r="N8" s="100"/>
      <c r="O8" s="100"/>
      <c r="P8" s="100"/>
    </row>
    <row r="9" spans="2:16" ht="12.75">
      <c r="B9" s="115" t="s">
        <v>828</v>
      </c>
      <c r="C9" s="116" t="s">
        <v>191</v>
      </c>
      <c r="D9" s="109" t="s">
        <v>192</v>
      </c>
      <c r="E9" s="110" t="s">
        <v>345</v>
      </c>
      <c r="F9" s="110" t="s">
        <v>938</v>
      </c>
      <c r="G9" s="111">
        <v>10000</v>
      </c>
      <c r="H9" s="103">
        <f>10000*19100</f>
        <v>191000000</v>
      </c>
      <c r="I9" s="112">
        <v>0</v>
      </c>
      <c r="J9" s="112">
        <v>0</v>
      </c>
      <c r="K9" s="112"/>
      <c r="L9" s="112">
        <v>191000000</v>
      </c>
      <c r="M9" s="100"/>
      <c r="N9" s="100"/>
      <c r="O9" s="100"/>
      <c r="P9" s="100"/>
    </row>
    <row r="10" spans="2:16" ht="12.75">
      <c r="B10" s="115" t="s">
        <v>828</v>
      </c>
      <c r="C10" s="116" t="s">
        <v>349</v>
      </c>
      <c r="D10" s="109" t="s">
        <v>350</v>
      </c>
      <c r="E10" s="110" t="s">
        <v>345</v>
      </c>
      <c r="F10" s="110"/>
      <c r="G10" s="111"/>
      <c r="H10" s="103"/>
      <c r="I10" s="112">
        <v>20000000</v>
      </c>
      <c r="J10" s="112">
        <v>20000000</v>
      </c>
      <c r="K10" s="112"/>
      <c r="L10" s="112">
        <v>0</v>
      </c>
      <c r="M10" s="100"/>
      <c r="N10" s="100"/>
      <c r="O10" s="100"/>
      <c r="P10" s="100"/>
    </row>
    <row r="11" spans="2:16" ht="12.75">
      <c r="B11" s="115" t="s">
        <v>829</v>
      </c>
      <c r="C11" s="116" t="s">
        <v>354</v>
      </c>
      <c r="D11" s="109" t="s">
        <v>352</v>
      </c>
      <c r="E11" s="110" t="s">
        <v>345</v>
      </c>
      <c r="F11" s="110"/>
      <c r="G11" s="111"/>
      <c r="H11" s="103">
        <v>51200000</v>
      </c>
      <c r="I11" s="112">
        <v>0</v>
      </c>
      <c r="J11" s="112">
        <v>0</v>
      </c>
      <c r="K11" s="112"/>
      <c r="L11" s="112">
        <v>51200000</v>
      </c>
      <c r="M11" s="100"/>
      <c r="N11" s="100"/>
      <c r="O11" s="100"/>
      <c r="P11" s="100"/>
    </row>
    <row r="12" spans="2:16" ht="12.75">
      <c r="B12" s="115" t="s">
        <v>829</v>
      </c>
      <c r="C12" s="116" t="s">
        <v>356</v>
      </c>
      <c r="D12" s="109" t="s">
        <v>353</v>
      </c>
      <c r="E12" s="110" t="s">
        <v>345</v>
      </c>
      <c r="F12" s="110"/>
      <c r="G12" s="111"/>
      <c r="H12" s="103">
        <v>30000000</v>
      </c>
      <c r="I12" s="112">
        <v>30000000</v>
      </c>
      <c r="J12" s="112">
        <v>0</v>
      </c>
      <c r="K12" s="112"/>
      <c r="L12" s="112">
        <v>60000000</v>
      </c>
      <c r="M12" s="100"/>
      <c r="N12" s="100"/>
      <c r="O12" s="100"/>
      <c r="P12" s="100"/>
    </row>
    <row r="13" spans="2:16" ht="12.75">
      <c r="B13" s="115" t="s">
        <v>830</v>
      </c>
      <c r="C13" s="116" t="s">
        <v>351</v>
      </c>
      <c r="D13" s="109" t="s">
        <v>355</v>
      </c>
      <c r="E13" s="110" t="s">
        <v>345</v>
      </c>
      <c r="F13" s="110"/>
      <c r="G13" s="111"/>
      <c r="H13" s="103">
        <v>41241000</v>
      </c>
      <c r="I13" s="112">
        <v>0</v>
      </c>
      <c r="J13" s="112">
        <v>0</v>
      </c>
      <c r="K13" s="112"/>
      <c r="L13" s="112">
        <v>41241000</v>
      </c>
      <c r="M13" s="100"/>
      <c r="N13" s="100"/>
      <c r="O13" s="100"/>
      <c r="P13" s="100"/>
    </row>
    <row r="14" spans="2:16" ht="12.75">
      <c r="B14" s="115" t="s">
        <v>830</v>
      </c>
      <c r="C14" s="116" t="s">
        <v>728</v>
      </c>
      <c r="D14" s="109" t="s">
        <v>357</v>
      </c>
      <c r="E14" s="110" t="s">
        <v>345</v>
      </c>
      <c r="F14" s="110"/>
      <c r="G14" s="111"/>
      <c r="H14" s="103"/>
      <c r="I14" s="112">
        <v>0</v>
      </c>
      <c r="J14" s="112">
        <v>0</v>
      </c>
      <c r="K14" s="112"/>
      <c r="L14" s="112">
        <v>0</v>
      </c>
      <c r="M14" s="100"/>
      <c r="N14" s="100"/>
      <c r="O14" s="100"/>
      <c r="P14" s="100"/>
    </row>
    <row r="15" spans="2:16" ht="12.75">
      <c r="B15" s="115" t="s">
        <v>830</v>
      </c>
      <c r="C15" s="116" t="s">
        <v>729</v>
      </c>
      <c r="D15" s="109" t="s">
        <v>358</v>
      </c>
      <c r="E15" s="110" t="s">
        <v>345</v>
      </c>
      <c r="F15" s="110"/>
      <c r="G15" s="111"/>
      <c r="H15" s="103">
        <v>50000000</v>
      </c>
      <c r="I15" s="112">
        <v>0</v>
      </c>
      <c r="J15" s="112">
        <v>0</v>
      </c>
      <c r="K15" s="112"/>
      <c r="L15" s="112">
        <v>50000000</v>
      </c>
      <c r="M15" s="100"/>
      <c r="N15" s="100"/>
      <c r="O15" s="100"/>
      <c r="P15" s="100"/>
    </row>
    <row r="16" spans="2:16" ht="12.75">
      <c r="B16" s="115" t="s">
        <v>830</v>
      </c>
      <c r="C16" s="116" t="s">
        <v>730</v>
      </c>
      <c r="D16" s="109" t="s">
        <v>359</v>
      </c>
      <c r="E16" s="110" t="s">
        <v>345</v>
      </c>
      <c r="F16" s="110"/>
      <c r="G16" s="111"/>
      <c r="H16" s="103"/>
      <c r="I16" s="112">
        <v>50000000</v>
      </c>
      <c r="J16" s="112">
        <v>0</v>
      </c>
      <c r="K16" s="112"/>
      <c r="L16" s="112">
        <v>50000000</v>
      </c>
      <c r="M16" s="100"/>
      <c r="N16" s="100"/>
      <c r="O16" s="100"/>
      <c r="P16" s="100"/>
    </row>
    <row r="17" spans="2:16" ht="12.75">
      <c r="B17" s="115" t="s">
        <v>831</v>
      </c>
      <c r="C17" s="116" t="s">
        <v>361</v>
      </c>
      <c r="D17" s="109" t="s">
        <v>757</v>
      </c>
      <c r="E17" s="110" t="s">
        <v>345</v>
      </c>
      <c r="F17" s="110"/>
      <c r="G17" s="111"/>
      <c r="H17" s="103">
        <v>20000000</v>
      </c>
      <c r="I17" s="112">
        <v>83028000</v>
      </c>
      <c r="J17" s="112">
        <v>60000000</v>
      </c>
      <c r="K17" s="112"/>
      <c r="L17" s="112">
        <v>43028000</v>
      </c>
      <c r="M17" s="100"/>
      <c r="N17" s="100"/>
      <c r="O17" s="100"/>
      <c r="P17" s="100"/>
    </row>
    <row r="18" spans="2:16" ht="12.75">
      <c r="B18" s="115" t="s">
        <v>831</v>
      </c>
      <c r="C18" s="116" t="s">
        <v>362</v>
      </c>
      <c r="D18" s="109" t="s">
        <v>939</v>
      </c>
      <c r="E18" s="110" t="s">
        <v>345</v>
      </c>
      <c r="F18" s="110"/>
      <c r="G18" s="111"/>
      <c r="H18" s="103">
        <v>45000000</v>
      </c>
      <c r="I18" s="112">
        <v>0</v>
      </c>
      <c r="J18" s="112">
        <v>9000000</v>
      </c>
      <c r="K18" s="112"/>
      <c r="L18" s="112">
        <v>36000000</v>
      </c>
      <c r="M18" s="100"/>
      <c r="N18" s="100"/>
      <c r="O18" s="100"/>
      <c r="P18" s="100"/>
    </row>
    <row r="19" spans="2:16" ht="12.75">
      <c r="B19" s="115" t="s">
        <v>831</v>
      </c>
      <c r="C19" s="116" t="s">
        <v>363</v>
      </c>
      <c r="D19" s="109" t="s">
        <v>758</v>
      </c>
      <c r="E19" s="110" t="s">
        <v>345</v>
      </c>
      <c r="F19" s="110"/>
      <c r="G19" s="111"/>
      <c r="H19" s="103">
        <v>-80000000</v>
      </c>
      <c r="I19" s="112">
        <v>105600000</v>
      </c>
      <c r="J19" s="112">
        <v>1200000</v>
      </c>
      <c r="K19" s="112"/>
      <c r="L19" s="112">
        <v>24400000</v>
      </c>
      <c r="M19" s="100"/>
      <c r="N19" s="100"/>
      <c r="O19" s="100"/>
      <c r="P19" s="100"/>
    </row>
    <row r="20" spans="2:16" ht="12.75">
      <c r="B20" s="115" t="s">
        <v>831</v>
      </c>
      <c r="C20" s="116" t="s">
        <v>364</v>
      </c>
      <c r="D20" s="109" t="s">
        <v>759</v>
      </c>
      <c r="E20" s="110" t="s">
        <v>345</v>
      </c>
      <c r="F20" s="110"/>
      <c r="G20" s="111"/>
      <c r="H20" s="103">
        <v>-40000000</v>
      </c>
      <c r="I20" s="112">
        <v>290928000</v>
      </c>
      <c r="J20" s="112">
        <v>150000000</v>
      </c>
      <c r="K20" s="112"/>
      <c r="L20" s="112">
        <v>100928000</v>
      </c>
      <c r="M20" s="100"/>
      <c r="N20" s="100"/>
      <c r="O20" s="100"/>
      <c r="P20" s="100"/>
    </row>
    <row r="21" spans="2:16" ht="12.75">
      <c r="B21" s="115" t="s">
        <v>831</v>
      </c>
      <c r="C21" s="116" t="s">
        <v>365</v>
      </c>
      <c r="D21" s="109" t="s">
        <v>940</v>
      </c>
      <c r="E21" s="110" t="s">
        <v>345</v>
      </c>
      <c r="F21" s="110"/>
      <c r="G21" s="111"/>
      <c r="H21" s="103">
        <v>-30000000</v>
      </c>
      <c r="I21" s="112">
        <v>85800000</v>
      </c>
      <c r="J21" s="112">
        <v>0</v>
      </c>
      <c r="K21" s="112"/>
      <c r="L21" s="112">
        <v>55800000</v>
      </c>
      <c r="M21" s="100"/>
      <c r="N21" s="100"/>
      <c r="O21" s="100"/>
      <c r="P21" s="100"/>
    </row>
    <row r="22" spans="2:16" ht="12.75">
      <c r="B22" s="115" t="s">
        <v>831</v>
      </c>
      <c r="C22" s="116" t="s">
        <v>366</v>
      </c>
      <c r="D22" s="109" t="s">
        <v>929</v>
      </c>
      <c r="E22" s="110" t="s">
        <v>345</v>
      </c>
      <c r="F22" s="110"/>
      <c r="G22" s="111"/>
      <c r="H22" s="103"/>
      <c r="I22" s="112">
        <v>82368000</v>
      </c>
      <c r="J22" s="112">
        <v>0</v>
      </c>
      <c r="K22" s="112"/>
      <c r="L22" s="112">
        <v>82368000</v>
      </c>
      <c r="M22" s="100"/>
      <c r="N22" s="100"/>
      <c r="O22" s="100"/>
      <c r="P22" s="100"/>
    </row>
    <row r="23" spans="2:16" ht="12.75">
      <c r="B23" s="115" t="s">
        <v>831</v>
      </c>
      <c r="C23" s="116" t="s">
        <v>367</v>
      </c>
      <c r="D23" s="109" t="s">
        <v>941</v>
      </c>
      <c r="E23" s="110" t="s">
        <v>345</v>
      </c>
      <c r="F23" s="110"/>
      <c r="G23" s="111"/>
      <c r="H23" s="103">
        <v>25000000</v>
      </c>
      <c r="I23" s="112">
        <v>20000000</v>
      </c>
      <c r="J23" s="112">
        <v>300000</v>
      </c>
      <c r="K23" s="112"/>
      <c r="L23" s="112">
        <v>44700000</v>
      </c>
      <c r="M23" s="100"/>
      <c r="N23" s="100"/>
      <c r="O23" s="100"/>
      <c r="P23" s="100"/>
    </row>
    <row r="24" spans="2:16" ht="12.75">
      <c r="B24" s="117" t="s">
        <v>832</v>
      </c>
      <c r="C24" s="116" t="s">
        <v>368</v>
      </c>
      <c r="D24" s="109" t="s">
        <v>760</v>
      </c>
      <c r="E24" s="110" t="s">
        <v>345</v>
      </c>
      <c r="F24" s="110"/>
      <c r="G24" s="111"/>
      <c r="H24" s="103"/>
      <c r="I24" s="112">
        <v>0</v>
      </c>
      <c r="J24" s="112">
        <v>0</v>
      </c>
      <c r="K24" s="112"/>
      <c r="L24" s="112">
        <v>0</v>
      </c>
      <c r="M24" s="100"/>
      <c r="N24" s="100"/>
      <c r="O24" s="100"/>
      <c r="P24" s="100"/>
    </row>
    <row r="25" spans="2:16" ht="12.75">
      <c r="B25" s="117" t="s">
        <v>832</v>
      </c>
      <c r="C25" s="116" t="s">
        <v>369</v>
      </c>
      <c r="D25" s="109" t="s">
        <v>930</v>
      </c>
      <c r="E25" s="110" t="s">
        <v>345</v>
      </c>
      <c r="F25" s="110"/>
      <c r="G25" s="111"/>
      <c r="H25" s="103"/>
      <c r="I25" s="112">
        <v>75735000</v>
      </c>
      <c r="J25" s="112">
        <v>0</v>
      </c>
      <c r="K25" s="112"/>
      <c r="L25" s="112">
        <v>75735000</v>
      </c>
      <c r="M25" s="100"/>
      <c r="N25" s="100"/>
      <c r="O25" s="100"/>
      <c r="P25" s="100"/>
    </row>
    <row r="26" spans="2:16" ht="12.75">
      <c r="B26" s="117" t="s">
        <v>832</v>
      </c>
      <c r="C26" s="116" t="s">
        <v>370</v>
      </c>
      <c r="D26" s="109" t="s">
        <v>761</v>
      </c>
      <c r="E26" s="110" t="s">
        <v>345</v>
      </c>
      <c r="F26" s="110"/>
      <c r="G26" s="111"/>
      <c r="H26" s="103"/>
      <c r="I26" s="112">
        <v>118755000</v>
      </c>
      <c r="J26" s="112">
        <v>5937750</v>
      </c>
      <c r="K26" s="112"/>
      <c r="L26" s="112">
        <v>112817250</v>
      </c>
      <c r="M26" s="100"/>
      <c r="N26" s="100"/>
      <c r="O26" s="100"/>
      <c r="P26" s="100"/>
    </row>
    <row r="27" spans="2:16" ht="12.75">
      <c r="B27" s="117" t="s">
        <v>832</v>
      </c>
      <c r="C27" s="116" t="s">
        <v>371</v>
      </c>
      <c r="D27" s="109" t="s">
        <v>762</v>
      </c>
      <c r="E27" s="110" t="s">
        <v>345</v>
      </c>
      <c r="F27" s="110"/>
      <c r="G27" s="111"/>
      <c r="H27" s="103"/>
      <c r="I27" s="112">
        <v>0</v>
      </c>
      <c r="J27" s="112">
        <v>0</v>
      </c>
      <c r="K27" s="112"/>
      <c r="L27" s="112">
        <v>0</v>
      </c>
      <c r="M27" s="100"/>
      <c r="N27" s="100"/>
      <c r="O27" s="100"/>
      <c r="P27" s="100"/>
    </row>
    <row r="28" spans="2:16" ht="12.75">
      <c r="B28" s="117" t="s">
        <v>832</v>
      </c>
      <c r="C28" s="116" t="s">
        <v>372</v>
      </c>
      <c r="D28" s="109" t="s">
        <v>942</v>
      </c>
      <c r="E28" s="110" t="s">
        <v>345</v>
      </c>
      <c r="F28" s="110"/>
      <c r="G28" s="111"/>
      <c r="H28" s="103"/>
      <c r="I28" s="112">
        <v>0</v>
      </c>
      <c r="J28" s="112">
        <v>0</v>
      </c>
      <c r="K28" s="112"/>
      <c r="L28" s="112">
        <v>0</v>
      </c>
      <c r="M28" s="100"/>
      <c r="N28" s="100"/>
      <c r="O28" s="100"/>
      <c r="P28" s="100"/>
    </row>
    <row r="29" spans="2:16" ht="12.75">
      <c r="B29" s="117" t="s">
        <v>832</v>
      </c>
      <c r="C29" s="116" t="s">
        <v>373</v>
      </c>
      <c r="D29" s="109" t="s">
        <v>943</v>
      </c>
      <c r="E29" s="110" t="s">
        <v>345</v>
      </c>
      <c r="F29" s="110"/>
      <c r="G29" s="111"/>
      <c r="H29" s="103"/>
      <c r="I29" s="112">
        <v>0</v>
      </c>
      <c r="J29" s="112">
        <v>0</v>
      </c>
      <c r="K29" s="112"/>
      <c r="L29" s="112">
        <v>0</v>
      </c>
      <c r="M29" s="100"/>
      <c r="N29" s="100"/>
      <c r="O29" s="100"/>
      <c r="P29" s="100"/>
    </row>
    <row r="30" spans="2:16" ht="12.75">
      <c r="B30" s="117" t="s">
        <v>832</v>
      </c>
      <c r="C30" s="116" t="s">
        <v>374</v>
      </c>
      <c r="D30" s="109" t="s">
        <v>944</v>
      </c>
      <c r="E30" s="110" t="s">
        <v>345</v>
      </c>
      <c r="F30" s="110"/>
      <c r="G30" s="111"/>
      <c r="H30" s="103">
        <v>140000000</v>
      </c>
      <c r="I30" s="112">
        <v>272552000</v>
      </c>
      <c r="J30" s="112">
        <v>20000000</v>
      </c>
      <c r="K30" s="112"/>
      <c r="L30" s="112">
        <v>392552000</v>
      </c>
      <c r="M30" s="100"/>
      <c r="N30" s="100"/>
      <c r="O30" s="100"/>
      <c r="P30" s="100"/>
    </row>
    <row r="31" spans="2:16" ht="12.75">
      <c r="B31" s="115" t="s">
        <v>833</v>
      </c>
      <c r="C31" s="116" t="s">
        <v>375</v>
      </c>
      <c r="D31" s="109" t="s">
        <v>376</v>
      </c>
      <c r="E31" s="110" t="s">
        <v>345</v>
      </c>
      <c r="F31" s="110"/>
      <c r="G31" s="111"/>
      <c r="H31" s="103"/>
      <c r="I31" s="112">
        <v>288254860</v>
      </c>
      <c r="J31" s="112">
        <v>288254860</v>
      </c>
      <c r="K31" s="112"/>
      <c r="L31" s="112">
        <v>0</v>
      </c>
      <c r="M31" s="100"/>
      <c r="N31" s="100"/>
      <c r="O31" s="100"/>
      <c r="P31" s="100"/>
    </row>
    <row r="32" spans="2:16" ht="12.75">
      <c r="B32" s="115" t="s">
        <v>833</v>
      </c>
      <c r="C32" s="116" t="s">
        <v>377</v>
      </c>
      <c r="D32" s="109" t="s">
        <v>378</v>
      </c>
      <c r="E32" s="110" t="s">
        <v>345</v>
      </c>
      <c r="F32" s="110"/>
      <c r="G32" s="111"/>
      <c r="H32" s="103"/>
      <c r="I32" s="112">
        <v>3500000</v>
      </c>
      <c r="J32" s="112">
        <v>3500000</v>
      </c>
      <c r="K32" s="112"/>
      <c r="L32" s="112">
        <v>0</v>
      </c>
      <c r="M32" s="100"/>
      <c r="N32" s="100"/>
      <c r="O32" s="100"/>
      <c r="P32" s="100"/>
    </row>
    <row r="33" spans="2:16" s="101" customFormat="1" ht="12.75">
      <c r="B33" s="115" t="s">
        <v>833</v>
      </c>
      <c r="C33" s="116" t="s">
        <v>379</v>
      </c>
      <c r="D33" s="109" t="s">
        <v>380</v>
      </c>
      <c r="E33" s="110" t="s">
        <v>345</v>
      </c>
      <c r="F33" s="110"/>
      <c r="G33" s="111"/>
      <c r="H33" s="103">
        <v>1500000</v>
      </c>
      <c r="I33" s="112">
        <v>0</v>
      </c>
      <c r="J33" s="112">
        <v>150000</v>
      </c>
      <c r="K33" s="112"/>
      <c r="L33" s="112">
        <v>1350000</v>
      </c>
      <c r="M33" s="100"/>
      <c r="N33" s="100"/>
      <c r="O33" s="100"/>
      <c r="P33" s="100"/>
    </row>
    <row r="34" spans="2:16" ht="12.75">
      <c r="B34" s="115" t="s">
        <v>834</v>
      </c>
      <c r="C34" s="116" t="s">
        <v>731</v>
      </c>
      <c r="D34" s="109" t="s">
        <v>381</v>
      </c>
      <c r="E34" s="110" t="s">
        <v>345</v>
      </c>
      <c r="F34" s="110"/>
      <c r="G34" s="111"/>
      <c r="H34" s="103">
        <v>1000000</v>
      </c>
      <c r="I34" s="112">
        <v>0</v>
      </c>
      <c r="J34" s="112">
        <v>0</v>
      </c>
      <c r="K34" s="112"/>
      <c r="L34" s="112">
        <v>1000000</v>
      </c>
      <c r="M34" s="100"/>
      <c r="N34" s="100"/>
      <c r="O34" s="100"/>
      <c r="P34" s="100"/>
    </row>
    <row r="35" spans="2:16" ht="12.75">
      <c r="B35" s="115" t="s">
        <v>835</v>
      </c>
      <c r="C35" s="116" t="s">
        <v>732</v>
      </c>
      <c r="D35" s="109" t="s">
        <v>382</v>
      </c>
      <c r="E35" s="110" t="s">
        <v>345</v>
      </c>
      <c r="F35" s="110"/>
      <c r="G35" s="111"/>
      <c r="H35" s="103">
        <v>2000000</v>
      </c>
      <c r="I35" s="112">
        <v>0</v>
      </c>
      <c r="J35" s="112">
        <v>0</v>
      </c>
      <c r="K35" s="112"/>
      <c r="L35" s="112">
        <v>2000000</v>
      </c>
      <c r="M35" s="100"/>
      <c r="N35" s="100"/>
      <c r="O35" s="100"/>
      <c r="P35" s="100"/>
    </row>
    <row r="36" spans="2:16" ht="12.75">
      <c r="B36" s="115" t="s">
        <v>836</v>
      </c>
      <c r="C36" s="116" t="s">
        <v>329</v>
      </c>
      <c r="D36" s="109" t="s">
        <v>383</v>
      </c>
      <c r="E36" s="110" t="s">
        <v>345</v>
      </c>
      <c r="F36" s="110"/>
      <c r="G36" s="111"/>
      <c r="H36" s="103"/>
      <c r="I36" s="112">
        <v>0</v>
      </c>
      <c r="J36" s="112">
        <v>0</v>
      </c>
      <c r="K36" s="112"/>
      <c r="L36" s="112">
        <v>0</v>
      </c>
      <c r="M36" s="100"/>
      <c r="N36" s="100"/>
      <c r="O36" s="100"/>
      <c r="P36" s="100"/>
    </row>
    <row r="37" spans="2:16" s="101" customFormat="1" ht="12.75">
      <c r="B37" s="115" t="s">
        <v>836</v>
      </c>
      <c r="C37" s="116" t="s">
        <v>384</v>
      </c>
      <c r="D37" s="109" t="s">
        <v>385</v>
      </c>
      <c r="E37" s="110" t="s">
        <v>345</v>
      </c>
      <c r="F37" s="110"/>
      <c r="G37" s="111"/>
      <c r="H37" s="103">
        <v>1000000</v>
      </c>
      <c r="I37" s="112">
        <v>0</v>
      </c>
      <c r="J37" s="112">
        <v>0</v>
      </c>
      <c r="K37" s="112"/>
      <c r="L37" s="112">
        <v>1000000</v>
      </c>
      <c r="M37" s="100"/>
      <c r="N37" s="100"/>
      <c r="O37" s="100"/>
      <c r="P37" s="100"/>
    </row>
    <row r="38" spans="2:16" s="101" customFormat="1" ht="12.75">
      <c r="B38" s="115" t="s">
        <v>836</v>
      </c>
      <c r="C38" s="116" t="s">
        <v>386</v>
      </c>
      <c r="D38" s="109" t="s">
        <v>387</v>
      </c>
      <c r="E38" s="110" t="s">
        <v>345</v>
      </c>
      <c r="F38" s="110"/>
      <c r="G38" s="111"/>
      <c r="H38" s="103">
        <v>500000</v>
      </c>
      <c r="I38" s="112">
        <v>1200000</v>
      </c>
      <c r="J38" s="112">
        <v>0</v>
      </c>
      <c r="K38" s="112"/>
      <c r="L38" s="112">
        <v>1700000</v>
      </c>
      <c r="M38" s="100"/>
      <c r="N38" s="100"/>
      <c r="O38" s="100"/>
      <c r="P38" s="100"/>
    </row>
    <row r="39" spans="2:16" s="101" customFormat="1" ht="12.75">
      <c r="B39" s="115" t="s">
        <v>836</v>
      </c>
      <c r="C39" s="116" t="s">
        <v>388</v>
      </c>
      <c r="D39" s="109" t="s">
        <v>389</v>
      </c>
      <c r="E39" s="110" t="s">
        <v>345</v>
      </c>
      <c r="F39" s="110"/>
      <c r="G39" s="111"/>
      <c r="H39" s="103">
        <v>300000</v>
      </c>
      <c r="I39" s="112">
        <v>140000</v>
      </c>
      <c r="J39" s="112">
        <v>0</v>
      </c>
      <c r="K39" s="112"/>
      <c r="L39" s="112">
        <v>440000</v>
      </c>
      <c r="M39" s="100"/>
      <c r="N39" s="100"/>
      <c r="O39" s="100"/>
      <c r="P39" s="100"/>
    </row>
    <row r="40" spans="2:16" ht="12.75">
      <c r="B40" s="115" t="s">
        <v>836</v>
      </c>
      <c r="C40" s="116" t="s">
        <v>390</v>
      </c>
      <c r="D40" s="109" t="s">
        <v>391</v>
      </c>
      <c r="E40" s="110" t="s">
        <v>345</v>
      </c>
      <c r="F40" s="110"/>
      <c r="G40" s="111"/>
      <c r="H40" s="103">
        <v>200000</v>
      </c>
      <c r="I40" s="112">
        <v>0</v>
      </c>
      <c r="J40" s="112">
        <v>350000</v>
      </c>
      <c r="K40" s="112"/>
      <c r="L40" s="112">
        <v>-150000</v>
      </c>
      <c r="M40" s="100"/>
      <c r="N40" s="100"/>
      <c r="O40" s="100"/>
      <c r="P40" s="100"/>
    </row>
    <row r="41" spans="2:16" ht="12.75">
      <c r="B41" s="115" t="s">
        <v>836</v>
      </c>
      <c r="C41" s="116" t="s">
        <v>394</v>
      </c>
      <c r="D41" s="109" t="s">
        <v>224</v>
      </c>
      <c r="E41" s="110" t="s">
        <v>345</v>
      </c>
      <c r="F41" s="110"/>
      <c r="G41" s="111"/>
      <c r="H41" s="103"/>
      <c r="I41" s="112">
        <v>3900000</v>
      </c>
      <c r="J41" s="112">
        <v>12680080</v>
      </c>
      <c r="K41" s="112"/>
      <c r="L41" s="112">
        <v>-8780080</v>
      </c>
      <c r="M41" s="100"/>
      <c r="N41" s="100"/>
      <c r="O41" s="100"/>
      <c r="P41" s="100"/>
    </row>
    <row r="42" spans="2:16" ht="12.75">
      <c r="B42" s="115" t="s">
        <v>836</v>
      </c>
      <c r="C42" s="116" t="s">
        <v>395</v>
      </c>
      <c r="D42" s="109" t="s">
        <v>623</v>
      </c>
      <c r="E42" s="110" t="s">
        <v>345</v>
      </c>
      <c r="F42" s="110"/>
      <c r="G42" s="111"/>
      <c r="H42" s="103">
        <v>3000000</v>
      </c>
      <c r="I42" s="112">
        <v>0</v>
      </c>
      <c r="J42" s="112">
        <v>0</v>
      </c>
      <c r="K42" s="112"/>
      <c r="L42" s="112">
        <v>3000000</v>
      </c>
      <c r="M42" s="100"/>
      <c r="N42" s="100"/>
      <c r="O42" s="100"/>
      <c r="P42" s="100"/>
    </row>
    <row r="43" spans="2:16" ht="12.75">
      <c r="B43" s="117" t="s">
        <v>837</v>
      </c>
      <c r="C43" s="116" t="s">
        <v>800</v>
      </c>
      <c r="D43" s="109" t="s">
        <v>799</v>
      </c>
      <c r="E43" s="110" t="s">
        <v>345</v>
      </c>
      <c r="F43" s="55" t="s">
        <v>156</v>
      </c>
      <c r="G43" s="111">
        <v>5000</v>
      </c>
      <c r="H43" s="103">
        <f>5000*19350</f>
        <v>96750000</v>
      </c>
      <c r="I43" s="112">
        <v>0</v>
      </c>
      <c r="J43" s="112">
        <v>0</v>
      </c>
      <c r="K43" s="112"/>
      <c r="L43" s="112">
        <v>96750000</v>
      </c>
      <c r="M43" s="100"/>
      <c r="N43" s="100"/>
      <c r="O43" s="100"/>
      <c r="P43" s="100"/>
    </row>
    <row r="44" spans="2:16" ht="12.75">
      <c r="B44" s="117" t="s">
        <v>837</v>
      </c>
      <c r="C44" s="116" t="s">
        <v>396</v>
      </c>
      <c r="D44" s="109" t="s">
        <v>789</v>
      </c>
      <c r="E44" s="110" t="s">
        <v>345</v>
      </c>
      <c r="F44" s="55" t="s">
        <v>156</v>
      </c>
      <c r="G44" s="111">
        <v>11000</v>
      </c>
      <c r="H44" s="103">
        <f>11000*19300</f>
        <v>212300000</v>
      </c>
      <c r="I44" s="112">
        <v>442194325</v>
      </c>
      <c r="J44" s="112">
        <v>494361000</v>
      </c>
      <c r="K44" s="112"/>
      <c r="L44" s="112">
        <v>160133325</v>
      </c>
      <c r="M44" s="100"/>
      <c r="N44" s="100"/>
      <c r="O44" s="100"/>
      <c r="P44" s="100"/>
    </row>
    <row r="45" spans="2:16" ht="12.75">
      <c r="B45" s="117" t="s">
        <v>837</v>
      </c>
      <c r="C45" s="116" t="s">
        <v>397</v>
      </c>
      <c r="D45" s="109" t="s">
        <v>785</v>
      </c>
      <c r="E45" s="110" t="s">
        <v>345</v>
      </c>
      <c r="F45" s="55" t="s">
        <v>158</v>
      </c>
      <c r="G45" s="111">
        <v>50000</v>
      </c>
      <c r="H45" s="103">
        <f>50000*10000</f>
        <v>500000000</v>
      </c>
      <c r="I45" s="112">
        <v>1329900000</v>
      </c>
      <c r="J45" s="112">
        <v>753827164</v>
      </c>
      <c r="K45" s="112"/>
      <c r="L45" s="112">
        <v>1076072836</v>
      </c>
      <c r="M45" s="100"/>
      <c r="N45" s="100"/>
      <c r="O45" s="100"/>
      <c r="P45" s="100"/>
    </row>
    <row r="46" spans="2:16" ht="12.75">
      <c r="B46" s="117" t="s">
        <v>837</v>
      </c>
      <c r="C46" s="116" t="s">
        <v>398</v>
      </c>
      <c r="D46" s="109" t="s">
        <v>784</v>
      </c>
      <c r="E46" s="110" t="s">
        <v>345</v>
      </c>
      <c r="F46" s="55" t="s">
        <v>158</v>
      </c>
      <c r="G46" s="111">
        <v>500</v>
      </c>
      <c r="H46" s="103">
        <f>500*7500</f>
        <v>3750000</v>
      </c>
      <c r="I46" s="112">
        <v>960000000</v>
      </c>
      <c r="J46" s="112">
        <v>0</v>
      </c>
      <c r="K46" s="112"/>
      <c r="L46" s="112">
        <v>963750000</v>
      </c>
      <c r="M46" s="100"/>
      <c r="N46" s="100"/>
      <c r="O46" s="100"/>
      <c r="P46" s="100"/>
    </row>
    <row r="47" spans="2:16" ht="12.75">
      <c r="B47" s="117" t="s">
        <v>837</v>
      </c>
      <c r="C47" s="116" t="s">
        <v>399</v>
      </c>
      <c r="D47" s="109" t="s">
        <v>783</v>
      </c>
      <c r="E47" s="110" t="s">
        <v>345</v>
      </c>
      <c r="F47" s="55" t="s">
        <v>157</v>
      </c>
      <c r="G47" s="111">
        <v>1000</v>
      </c>
      <c r="H47" s="103">
        <f>1000*16200</f>
        <v>16200000</v>
      </c>
      <c r="I47" s="112">
        <v>11630000</v>
      </c>
      <c r="J47" s="112">
        <v>21838914</v>
      </c>
      <c r="K47" s="112"/>
      <c r="L47" s="112">
        <v>5991086</v>
      </c>
      <c r="M47" s="100"/>
      <c r="N47" s="100"/>
      <c r="O47" s="100"/>
      <c r="P47" s="100"/>
    </row>
    <row r="48" spans="2:16" ht="12.75">
      <c r="B48" s="117" t="s">
        <v>837</v>
      </c>
      <c r="C48" s="116" t="s">
        <v>400</v>
      </c>
      <c r="D48" s="109" t="s">
        <v>786</v>
      </c>
      <c r="E48" s="110" t="s">
        <v>345</v>
      </c>
      <c r="F48" s="55" t="s">
        <v>156</v>
      </c>
      <c r="G48" s="111">
        <v>2000</v>
      </c>
      <c r="H48" s="103">
        <f>2000*2100</f>
        <v>4200000</v>
      </c>
      <c r="I48" s="112">
        <v>10526680</v>
      </c>
      <c r="J48" s="112">
        <v>1891760</v>
      </c>
      <c r="K48" s="112"/>
      <c r="L48" s="112">
        <v>12834920</v>
      </c>
      <c r="M48" s="100"/>
      <c r="N48" s="100"/>
      <c r="O48" s="100"/>
      <c r="P48" s="100"/>
    </row>
    <row r="49" spans="2:16" ht="12.75">
      <c r="B49" s="117" t="s">
        <v>837</v>
      </c>
      <c r="C49" s="116" t="s">
        <v>401</v>
      </c>
      <c r="D49" s="109" t="s">
        <v>787</v>
      </c>
      <c r="E49" s="110" t="s">
        <v>345</v>
      </c>
      <c r="F49" s="55" t="s">
        <v>156</v>
      </c>
      <c r="G49" s="111">
        <v>51</v>
      </c>
      <c r="H49" s="103">
        <v>918000</v>
      </c>
      <c r="I49" s="112">
        <v>2700000</v>
      </c>
      <c r="J49" s="112">
        <v>0</v>
      </c>
      <c r="K49" s="112"/>
      <c r="L49" s="112">
        <v>3618000</v>
      </c>
      <c r="M49" s="100"/>
      <c r="N49" s="100"/>
      <c r="O49" s="100"/>
      <c r="P49" s="100"/>
    </row>
    <row r="50" spans="2:16" ht="12.75">
      <c r="B50" s="117" t="s">
        <v>837</v>
      </c>
      <c r="C50" s="116" t="s">
        <v>733</v>
      </c>
      <c r="D50" s="109" t="s">
        <v>788</v>
      </c>
      <c r="E50" s="110" t="s">
        <v>345</v>
      </c>
      <c r="F50" s="55" t="s">
        <v>157</v>
      </c>
      <c r="G50" s="111">
        <v>100</v>
      </c>
      <c r="H50" s="103">
        <v>24500000</v>
      </c>
      <c r="I50" s="112">
        <v>79684000</v>
      </c>
      <c r="J50" s="112">
        <v>12740000</v>
      </c>
      <c r="K50" s="112"/>
      <c r="L50" s="112">
        <v>91444000</v>
      </c>
      <c r="M50" s="100"/>
      <c r="N50" s="100"/>
      <c r="O50" s="100"/>
      <c r="P50" s="100"/>
    </row>
    <row r="51" spans="2:16" ht="12.75">
      <c r="B51" s="117" t="s">
        <v>837</v>
      </c>
      <c r="C51" s="116" t="s">
        <v>734</v>
      </c>
      <c r="D51" s="109" t="s">
        <v>790</v>
      </c>
      <c r="E51" s="110" t="s">
        <v>345</v>
      </c>
      <c r="F51" s="55" t="s">
        <v>157</v>
      </c>
      <c r="G51" s="111"/>
      <c r="H51" s="103"/>
      <c r="I51" s="112">
        <v>0</v>
      </c>
      <c r="J51" s="112">
        <v>0</v>
      </c>
      <c r="K51" s="112"/>
      <c r="L51" s="112">
        <v>0</v>
      </c>
      <c r="M51" s="100"/>
      <c r="N51" s="100"/>
      <c r="O51" s="100"/>
      <c r="P51" s="100"/>
    </row>
    <row r="52" spans="2:16" ht="12.75">
      <c r="B52" s="117" t="s">
        <v>837</v>
      </c>
      <c r="C52" s="116" t="s">
        <v>402</v>
      </c>
      <c r="D52" s="109" t="s">
        <v>797</v>
      </c>
      <c r="E52" s="110" t="s">
        <v>345</v>
      </c>
      <c r="F52" s="110"/>
      <c r="G52" s="111"/>
      <c r="H52" s="103">
        <v>2550000</v>
      </c>
      <c r="I52" s="112">
        <v>701097349.4333333</v>
      </c>
      <c r="J52" s="112">
        <v>589250000</v>
      </c>
      <c r="K52" s="112"/>
      <c r="L52" s="112">
        <v>114397349.43333328</v>
      </c>
      <c r="M52" s="100"/>
      <c r="N52" s="100"/>
      <c r="O52" s="100"/>
      <c r="P52" s="100"/>
    </row>
    <row r="53" spans="2:16" ht="12.75">
      <c r="B53" s="117" t="s">
        <v>837</v>
      </c>
      <c r="C53" s="118" t="s">
        <v>403</v>
      </c>
      <c r="D53" s="109" t="s">
        <v>798</v>
      </c>
      <c r="E53" s="110" t="s">
        <v>345</v>
      </c>
      <c r="F53" s="110"/>
      <c r="G53" s="111"/>
      <c r="H53" s="103">
        <v>1200000</v>
      </c>
      <c r="I53" s="112">
        <v>792455456.0944444</v>
      </c>
      <c r="J53" s="112">
        <v>636200000</v>
      </c>
      <c r="K53" s="112"/>
      <c r="L53" s="112">
        <v>157455456.0944444</v>
      </c>
      <c r="M53" s="100"/>
      <c r="N53" s="100"/>
      <c r="O53" s="100"/>
      <c r="P53" s="100"/>
    </row>
    <row r="54" spans="2:16" s="102" customFormat="1" ht="12.75">
      <c r="B54" s="117" t="s">
        <v>837</v>
      </c>
      <c r="C54" s="116" t="s">
        <v>404</v>
      </c>
      <c r="D54" s="109" t="s">
        <v>795</v>
      </c>
      <c r="E54" s="110" t="s">
        <v>345</v>
      </c>
      <c r="F54" s="110" t="s">
        <v>796</v>
      </c>
      <c r="G54" s="111"/>
      <c r="H54" s="103"/>
      <c r="I54" s="112">
        <v>188663135.66666666</v>
      </c>
      <c r="J54" s="112">
        <v>188663135.66666666</v>
      </c>
      <c r="K54" s="112"/>
      <c r="L54" s="112">
        <v>0</v>
      </c>
      <c r="M54" s="100"/>
      <c r="N54" s="100"/>
      <c r="O54" s="100"/>
      <c r="P54" s="100"/>
    </row>
    <row r="55" spans="2:16" ht="12.75">
      <c r="B55" s="117" t="s">
        <v>837</v>
      </c>
      <c r="C55" s="116" t="s">
        <v>405</v>
      </c>
      <c r="D55" s="109" t="s">
        <v>791</v>
      </c>
      <c r="E55" s="110" t="s">
        <v>345</v>
      </c>
      <c r="F55" s="55" t="s">
        <v>156</v>
      </c>
      <c r="G55" s="111">
        <v>400</v>
      </c>
      <c r="H55" s="103">
        <f>G55*400000</f>
        <v>160000000</v>
      </c>
      <c r="I55" s="112">
        <v>585750000</v>
      </c>
      <c r="J55" s="112">
        <v>678240000</v>
      </c>
      <c r="K55" s="112"/>
      <c r="L55" s="112">
        <v>67510000</v>
      </c>
      <c r="M55" s="100"/>
      <c r="N55" s="100"/>
      <c r="O55" s="100"/>
      <c r="P55" s="100"/>
    </row>
    <row r="56" spans="2:16" ht="12.75">
      <c r="B56" s="117" t="s">
        <v>837</v>
      </c>
      <c r="C56" s="116" t="s">
        <v>406</v>
      </c>
      <c r="D56" s="109" t="s">
        <v>792</v>
      </c>
      <c r="E56" s="110" t="s">
        <v>345</v>
      </c>
      <c r="F56" s="55" t="s">
        <v>157</v>
      </c>
      <c r="G56" s="111">
        <v>200</v>
      </c>
      <c r="H56" s="103">
        <f>G56*318000</f>
        <v>63600000</v>
      </c>
      <c r="I56" s="112">
        <v>635000000</v>
      </c>
      <c r="J56" s="112">
        <v>155597050</v>
      </c>
      <c r="K56" s="112"/>
      <c r="L56" s="112">
        <v>543002950</v>
      </c>
      <c r="M56" s="100"/>
      <c r="N56" s="100"/>
      <c r="O56" s="100"/>
      <c r="P56" s="100"/>
    </row>
    <row r="57" spans="2:16" s="101" customFormat="1" ht="12.75">
      <c r="B57" s="117" t="s">
        <v>837</v>
      </c>
      <c r="C57" s="116" t="s">
        <v>735</v>
      </c>
      <c r="D57" s="109" t="s">
        <v>793</v>
      </c>
      <c r="E57" s="110" t="s">
        <v>345</v>
      </c>
      <c r="F57" s="55" t="s">
        <v>156</v>
      </c>
      <c r="G57" s="111"/>
      <c r="H57" s="103"/>
      <c r="I57" s="112">
        <v>0</v>
      </c>
      <c r="J57" s="112">
        <v>0</v>
      </c>
      <c r="K57" s="112"/>
      <c r="L57" s="112">
        <v>0</v>
      </c>
      <c r="M57" s="100"/>
      <c r="N57" s="100"/>
      <c r="O57" s="100"/>
      <c r="P57" s="100"/>
    </row>
    <row r="58" spans="2:16" ht="12.75">
      <c r="B58" s="117" t="s">
        <v>837</v>
      </c>
      <c r="C58" s="116" t="s">
        <v>407</v>
      </c>
      <c r="D58" s="109" t="s">
        <v>794</v>
      </c>
      <c r="E58" s="110" t="s">
        <v>345</v>
      </c>
      <c r="F58" s="110" t="s">
        <v>627</v>
      </c>
      <c r="G58" s="111">
        <v>60</v>
      </c>
      <c r="H58" s="103">
        <v>20000000</v>
      </c>
      <c r="I58" s="112">
        <v>0</v>
      </c>
      <c r="J58" s="112">
        <v>0</v>
      </c>
      <c r="K58" s="112"/>
      <c r="L58" s="112">
        <v>20000000</v>
      </c>
      <c r="M58" s="100"/>
      <c r="N58" s="100"/>
      <c r="O58" s="100"/>
      <c r="P58" s="100"/>
    </row>
    <row r="59" spans="2:16" ht="12.75">
      <c r="B59" s="117" t="s">
        <v>838</v>
      </c>
      <c r="C59" s="116" t="s">
        <v>408</v>
      </c>
      <c r="D59" s="109" t="s">
        <v>409</v>
      </c>
      <c r="E59" s="110" t="s">
        <v>345</v>
      </c>
      <c r="F59" s="110"/>
      <c r="G59" s="111"/>
      <c r="H59" s="103">
        <v>3456800000</v>
      </c>
      <c r="I59" s="112">
        <v>35000000</v>
      </c>
      <c r="J59" s="112">
        <v>42000000</v>
      </c>
      <c r="K59" s="112"/>
      <c r="L59" s="112">
        <v>3449800000</v>
      </c>
      <c r="M59" s="100"/>
      <c r="N59" s="100"/>
      <c r="O59" s="100"/>
      <c r="P59" s="100"/>
    </row>
    <row r="60" spans="2:16" ht="12.75">
      <c r="B60" s="117" t="s">
        <v>839</v>
      </c>
      <c r="C60" s="116" t="s">
        <v>410</v>
      </c>
      <c r="D60" s="109" t="s">
        <v>411</v>
      </c>
      <c r="E60" s="110" t="s">
        <v>345</v>
      </c>
      <c r="F60" s="110"/>
      <c r="G60" s="111"/>
      <c r="H60" s="103">
        <v>300000000</v>
      </c>
      <c r="I60" s="112">
        <v>0</v>
      </c>
      <c r="J60" s="112">
        <v>0</v>
      </c>
      <c r="K60" s="112"/>
      <c r="L60" s="112">
        <v>300000000</v>
      </c>
      <c r="M60" s="100"/>
      <c r="N60" s="100"/>
      <c r="O60" s="100"/>
      <c r="P60" s="100"/>
    </row>
    <row r="61" spans="2:16" ht="12.75">
      <c r="B61" s="117" t="s">
        <v>840</v>
      </c>
      <c r="C61" s="116" t="s">
        <v>412</v>
      </c>
      <c r="D61" s="109" t="s">
        <v>413</v>
      </c>
      <c r="E61" s="110" t="s">
        <v>345</v>
      </c>
      <c r="F61" s="110"/>
      <c r="G61" s="111"/>
      <c r="H61" s="103">
        <v>750000000</v>
      </c>
      <c r="I61" s="112">
        <v>40000000</v>
      </c>
      <c r="J61" s="112">
        <v>0</v>
      </c>
      <c r="K61" s="112"/>
      <c r="L61" s="112">
        <v>790000000</v>
      </c>
      <c r="M61" s="100"/>
      <c r="N61" s="100"/>
      <c r="O61" s="100"/>
      <c r="P61" s="100"/>
    </row>
    <row r="62" spans="2:16" ht="12.75">
      <c r="B62" s="117" t="s">
        <v>845</v>
      </c>
      <c r="C62" s="116" t="s">
        <v>422</v>
      </c>
      <c r="D62" s="109" t="s">
        <v>423</v>
      </c>
      <c r="E62" s="110" t="s">
        <v>345</v>
      </c>
      <c r="F62" s="110"/>
      <c r="G62" s="111"/>
      <c r="H62" s="103">
        <v>200000000</v>
      </c>
      <c r="I62" s="112">
        <v>0</v>
      </c>
      <c r="J62" s="112">
        <v>0</v>
      </c>
      <c r="K62" s="112"/>
      <c r="L62" s="112">
        <v>200000000</v>
      </c>
      <c r="M62" s="100"/>
      <c r="N62" s="100"/>
      <c r="O62" s="100"/>
      <c r="P62" s="100"/>
    </row>
    <row r="63" spans="2:16" ht="12.75">
      <c r="B63" s="117" t="s">
        <v>841</v>
      </c>
      <c r="C63" s="116" t="s">
        <v>414</v>
      </c>
      <c r="D63" s="109" t="s">
        <v>415</v>
      </c>
      <c r="E63" s="110" t="s">
        <v>360</v>
      </c>
      <c r="F63" s="110"/>
      <c r="G63" s="111"/>
      <c r="H63" s="113">
        <v>960650000</v>
      </c>
      <c r="I63" s="112">
        <v>12500000</v>
      </c>
      <c r="J63" s="112">
        <v>38091686.666666664</v>
      </c>
      <c r="K63" s="112"/>
      <c r="L63" s="112">
        <v>986241686.6666666</v>
      </c>
      <c r="M63" s="100"/>
      <c r="N63" s="100"/>
      <c r="O63" s="100"/>
      <c r="P63" s="100"/>
    </row>
    <row r="64" spans="2:16" ht="12.75">
      <c r="B64" s="117" t="s">
        <v>842</v>
      </c>
      <c r="C64" s="116" t="s">
        <v>416</v>
      </c>
      <c r="D64" s="109" t="s">
        <v>417</v>
      </c>
      <c r="E64" s="110" t="s">
        <v>360</v>
      </c>
      <c r="F64" s="110"/>
      <c r="G64" s="111"/>
      <c r="H64" s="103">
        <v>150000000</v>
      </c>
      <c r="I64" s="112">
        <v>0</v>
      </c>
      <c r="J64" s="112">
        <v>4166666.6666666665</v>
      </c>
      <c r="K64" s="112"/>
      <c r="L64" s="112">
        <v>154166666.66666666</v>
      </c>
      <c r="M64" s="100"/>
      <c r="N64" s="100"/>
      <c r="O64" s="100"/>
      <c r="P64" s="100"/>
    </row>
    <row r="65" spans="2:16" ht="12.75">
      <c r="B65" s="117" t="s">
        <v>843</v>
      </c>
      <c r="C65" s="116" t="s">
        <v>418</v>
      </c>
      <c r="D65" s="109" t="s">
        <v>419</v>
      </c>
      <c r="E65" s="110" t="s">
        <v>360</v>
      </c>
      <c r="F65" s="110"/>
      <c r="G65" s="111"/>
      <c r="H65" s="103">
        <v>450000000</v>
      </c>
      <c r="I65" s="112">
        <v>0</v>
      </c>
      <c r="J65" s="112">
        <v>6895161</v>
      </c>
      <c r="K65" s="112"/>
      <c r="L65" s="112">
        <v>456895161</v>
      </c>
      <c r="M65" s="100"/>
      <c r="N65" s="100"/>
      <c r="O65" s="100"/>
      <c r="P65" s="100"/>
    </row>
    <row r="66" spans="2:16" ht="12.75">
      <c r="B66" s="117" t="s">
        <v>844</v>
      </c>
      <c r="C66" s="116" t="s">
        <v>420</v>
      </c>
      <c r="D66" s="109" t="s">
        <v>421</v>
      </c>
      <c r="E66" s="110" t="s">
        <v>360</v>
      </c>
      <c r="F66" s="110"/>
      <c r="G66" s="111"/>
      <c r="H66" s="103"/>
      <c r="I66" s="112">
        <v>0</v>
      </c>
      <c r="J66" s="112">
        <v>0</v>
      </c>
      <c r="K66" s="112"/>
      <c r="L66" s="112">
        <v>0</v>
      </c>
      <c r="M66" s="100"/>
      <c r="N66" s="100"/>
      <c r="O66" s="100"/>
      <c r="P66" s="100"/>
    </row>
    <row r="67" spans="2:16" ht="12.75">
      <c r="B67" s="117" t="s">
        <v>846</v>
      </c>
      <c r="C67" s="116" t="s">
        <v>424</v>
      </c>
      <c r="D67" s="109" t="s">
        <v>167</v>
      </c>
      <c r="E67" s="110" t="s">
        <v>345</v>
      </c>
      <c r="F67" s="110"/>
      <c r="G67" s="111"/>
      <c r="H67" s="103">
        <v>400000000</v>
      </c>
      <c r="I67" s="112">
        <v>0</v>
      </c>
      <c r="J67" s="112">
        <v>0</v>
      </c>
      <c r="K67" s="112"/>
      <c r="L67" s="112">
        <v>400000000</v>
      </c>
      <c r="M67" s="100"/>
      <c r="N67" s="100"/>
      <c r="O67" s="100"/>
      <c r="P67" s="100"/>
    </row>
    <row r="68" spans="2:16" ht="12.75">
      <c r="B68" s="117" t="s">
        <v>847</v>
      </c>
      <c r="C68" s="116" t="s">
        <v>425</v>
      </c>
      <c r="D68" s="109" t="s">
        <v>168</v>
      </c>
      <c r="E68" s="110" t="s">
        <v>345</v>
      </c>
      <c r="F68" s="110"/>
      <c r="G68" s="111"/>
      <c r="H68" s="103">
        <v>300000000</v>
      </c>
      <c r="I68" s="112">
        <v>0</v>
      </c>
      <c r="J68" s="112">
        <v>0</v>
      </c>
      <c r="K68" s="112"/>
      <c r="L68" s="112">
        <v>300000000</v>
      </c>
      <c r="M68" s="100"/>
      <c r="N68" s="100"/>
      <c r="O68" s="100"/>
      <c r="P68" s="100"/>
    </row>
    <row r="69" spans="2:16" ht="12.75">
      <c r="B69" s="117" t="s">
        <v>848</v>
      </c>
      <c r="C69" s="116" t="s">
        <v>426</v>
      </c>
      <c r="D69" s="109" t="s">
        <v>427</v>
      </c>
      <c r="E69" s="110" t="s">
        <v>345</v>
      </c>
      <c r="F69" s="110"/>
      <c r="G69" s="111"/>
      <c r="H69" s="103"/>
      <c r="I69" s="112">
        <v>0</v>
      </c>
      <c r="J69" s="112">
        <v>0</v>
      </c>
      <c r="K69" s="112"/>
      <c r="L69" s="112">
        <v>0</v>
      </c>
      <c r="M69" s="100"/>
      <c r="N69" s="100"/>
      <c r="O69" s="100"/>
      <c r="P69" s="100"/>
    </row>
    <row r="70" spans="2:16" ht="12.75">
      <c r="B70" s="117" t="s">
        <v>849</v>
      </c>
      <c r="C70" s="116" t="s">
        <v>737</v>
      </c>
      <c r="D70" s="109" t="s">
        <v>739</v>
      </c>
      <c r="E70" s="110" t="s">
        <v>360</v>
      </c>
      <c r="F70" s="110"/>
      <c r="G70" s="111"/>
      <c r="H70" s="103">
        <v>5000000</v>
      </c>
      <c r="I70" s="112">
        <v>0</v>
      </c>
      <c r="J70" s="112">
        <v>5000000</v>
      </c>
      <c r="K70" s="112"/>
      <c r="L70" s="112">
        <v>10000000</v>
      </c>
      <c r="M70" s="100"/>
      <c r="N70" s="100"/>
      <c r="O70" s="100"/>
      <c r="P70" s="100"/>
    </row>
    <row r="71" spans="2:16" ht="12.75">
      <c r="B71" s="117" t="s">
        <v>850</v>
      </c>
      <c r="C71" s="116" t="s">
        <v>738</v>
      </c>
      <c r="D71" s="109" t="s">
        <v>740</v>
      </c>
      <c r="E71" s="110" t="s">
        <v>360</v>
      </c>
      <c r="F71" s="110"/>
      <c r="G71" s="111"/>
      <c r="H71" s="103"/>
      <c r="I71" s="112">
        <v>0</v>
      </c>
      <c r="J71" s="112">
        <v>0</v>
      </c>
      <c r="K71" s="112"/>
      <c r="L71" s="112">
        <v>0</v>
      </c>
      <c r="M71" s="100"/>
      <c r="N71" s="100"/>
      <c r="O71" s="100"/>
      <c r="P71" s="100"/>
    </row>
    <row r="72" spans="2:16" ht="12.75">
      <c r="B72" s="117" t="s">
        <v>851</v>
      </c>
      <c r="C72" s="116" t="s">
        <v>741</v>
      </c>
      <c r="D72" s="109" t="s">
        <v>392</v>
      </c>
      <c r="E72" s="110" t="s">
        <v>360</v>
      </c>
      <c r="F72" s="110"/>
      <c r="G72" s="111"/>
      <c r="H72" s="103">
        <v>3000000</v>
      </c>
      <c r="I72" s="112">
        <v>0</v>
      </c>
      <c r="J72" s="112">
        <v>5500000</v>
      </c>
      <c r="K72" s="112"/>
      <c r="L72" s="112">
        <v>8500000</v>
      </c>
      <c r="M72" s="100"/>
      <c r="N72" s="100"/>
      <c r="O72" s="100"/>
      <c r="P72" s="100"/>
    </row>
    <row r="73" spans="2:16" ht="12.75">
      <c r="B73" s="117" t="s">
        <v>852</v>
      </c>
      <c r="C73" s="116" t="s">
        <v>742</v>
      </c>
      <c r="D73" s="109" t="s">
        <v>393</v>
      </c>
      <c r="E73" s="110" t="s">
        <v>360</v>
      </c>
      <c r="F73" s="110"/>
      <c r="G73" s="111"/>
      <c r="H73" s="103">
        <v>2000000</v>
      </c>
      <c r="I73" s="112">
        <v>0</v>
      </c>
      <c r="J73" s="112">
        <v>0</v>
      </c>
      <c r="K73" s="112"/>
      <c r="L73" s="112">
        <v>2000000</v>
      </c>
      <c r="M73" s="100"/>
      <c r="N73" s="100"/>
      <c r="O73" s="100"/>
      <c r="P73" s="100"/>
    </row>
    <row r="74" spans="2:16" ht="12.75">
      <c r="B74" s="117" t="s">
        <v>853</v>
      </c>
      <c r="C74" s="116" t="s">
        <v>736</v>
      </c>
      <c r="D74" s="109" t="s">
        <v>166</v>
      </c>
      <c r="E74" s="110" t="s">
        <v>360</v>
      </c>
      <c r="F74" s="110"/>
      <c r="G74" s="111"/>
      <c r="H74" s="103">
        <v>3490000</v>
      </c>
      <c r="I74" s="112">
        <v>0</v>
      </c>
      <c r="J74" s="112">
        <v>16260000</v>
      </c>
      <c r="K74" s="112"/>
      <c r="L74" s="112">
        <v>19750000</v>
      </c>
      <c r="M74" s="100"/>
      <c r="N74" s="100"/>
      <c r="O74" s="100"/>
      <c r="P74" s="100"/>
    </row>
    <row r="75" spans="2:16" ht="12.75">
      <c r="B75" s="117" t="s">
        <v>854</v>
      </c>
      <c r="C75" s="116" t="s">
        <v>743</v>
      </c>
      <c r="D75" s="109" t="s">
        <v>428</v>
      </c>
      <c r="E75" s="110" t="s">
        <v>345</v>
      </c>
      <c r="F75" s="110"/>
      <c r="G75" s="111"/>
      <c r="H75" s="103"/>
      <c r="I75" s="112">
        <v>30000000</v>
      </c>
      <c r="J75" s="112">
        <v>30000000</v>
      </c>
      <c r="K75" s="112"/>
      <c r="L75" s="112">
        <v>0</v>
      </c>
      <c r="M75" s="100"/>
      <c r="N75" s="100"/>
      <c r="O75" s="100"/>
      <c r="P75" s="100"/>
    </row>
    <row r="76" spans="2:16" ht="12.75">
      <c r="B76" s="117" t="s">
        <v>855</v>
      </c>
      <c r="C76" s="116" t="s">
        <v>809</v>
      </c>
      <c r="D76" s="109" t="s">
        <v>884</v>
      </c>
      <c r="E76" s="110" t="s">
        <v>345</v>
      </c>
      <c r="F76" s="110"/>
      <c r="G76" s="111"/>
      <c r="H76" s="103"/>
      <c r="I76" s="112">
        <v>40290000</v>
      </c>
      <c r="J76" s="112">
        <v>10145000</v>
      </c>
      <c r="K76" s="112"/>
      <c r="L76" s="112">
        <v>30145000</v>
      </c>
      <c r="M76" s="100"/>
      <c r="N76" s="100"/>
      <c r="O76" s="100"/>
      <c r="P76" s="100"/>
    </row>
    <row r="77" spans="2:16" ht="12.75">
      <c r="B77" s="117" t="s">
        <v>855</v>
      </c>
      <c r="C77" s="116" t="s">
        <v>810</v>
      </c>
      <c r="D77" s="109" t="s">
        <v>812</v>
      </c>
      <c r="E77" s="110" t="s">
        <v>345</v>
      </c>
      <c r="F77" s="110"/>
      <c r="G77" s="111"/>
      <c r="H77" s="103"/>
      <c r="I77" s="112">
        <v>5000000</v>
      </c>
      <c r="J77" s="112">
        <v>2500000</v>
      </c>
      <c r="K77" s="112"/>
      <c r="L77" s="112">
        <v>2500000</v>
      </c>
      <c r="M77" s="100"/>
      <c r="N77" s="100"/>
      <c r="O77" s="100"/>
      <c r="P77" s="100"/>
    </row>
    <row r="78" spans="2:16" ht="12.75">
      <c r="B78" s="117" t="s">
        <v>855</v>
      </c>
      <c r="C78" s="116" t="s">
        <v>885</v>
      </c>
      <c r="D78" s="109" t="s">
        <v>811</v>
      </c>
      <c r="E78" s="110" t="s">
        <v>345</v>
      </c>
      <c r="F78" s="110"/>
      <c r="G78" s="111"/>
      <c r="H78" s="103">
        <v>12000000</v>
      </c>
      <c r="I78" s="112">
        <v>0</v>
      </c>
      <c r="J78" s="112">
        <v>2500000</v>
      </c>
      <c r="K78" s="112"/>
      <c r="L78" s="112">
        <v>9500000</v>
      </c>
      <c r="M78" s="100"/>
      <c r="N78" s="100"/>
      <c r="O78" s="100"/>
      <c r="P78" s="100"/>
    </row>
    <row r="79" spans="2:16" ht="12.75">
      <c r="B79" s="117" t="s">
        <v>856</v>
      </c>
      <c r="C79" s="116" t="s">
        <v>744</v>
      </c>
      <c r="D79" s="109" t="s">
        <v>193</v>
      </c>
      <c r="E79" s="110" t="s">
        <v>345</v>
      </c>
      <c r="F79" s="110"/>
      <c r="G79" s="111"/>
      <c r="H79" s="103"/>
      <c r="I79" s="112">
        <v>0</v>
      </c>
      <c r="J79" s="112">
        <v>0</v>
      </c>
      <c r="K79" s="112"/>
      <c r="L79" s="112">
        <v>0</v>
      </c>
      <c r="M79" s="100"/>
      <c r="N79" s="100"/>
      <c r="O79" s="100"/>
      <c r="P79" s="100"/>
    </row>
    <row r="80" spans="2:16" ht="12.75">
      <c r="B80" s="117" t="s">
        <v>857</v>
      </c>
      <c r="C80" s="116" t="s">
        <v>745</v>
      </c>
      <c r="D80" s="109" t="s">
        <v>429</v>
      </c>
      <c r="E80" s="110" t="s">
        <v>345</v>
      </c>
      <c r="F80" s="110"/>
      <c r="G80" s="111"/>
      <c r="H80" s="103"/>
      <c r="I80" s="112">
        <v>0</v>
      </c>
      <c r="J80" s="112">
        <v>0</v>
      </c>
      <c r="K80" s="112"/>
      <c r="L80" s="112">
        <v>0</v>
      </c>
      <c r="M80" s="100"/>
      <c r="N80" s="100"/>
      <c r="O80" s="100"/>
      <c r="P80" s="100"/>
    </row>
    <row r="81" spans="2:16" ht="12.75">
      <c r="B81" s="117" t="s">
        <v>858</v>
      </c>
      <c r="C81" s="116" t="s">
        <v>430</v>
      </c>
      <c r="D81" s="109" t="s">
        <v>763</v>
      </c>
      <c r="E81" s="110" t="s">
        <v>360</v>
      </c>
      <c r="F81" s="110"/>
      <c r="G81" s="111"/>
      <c r="H81" s="103">
        <v>30000000</v>
      </c>
      <c r="I81" s="112">
        <v>25000000</v>
      </c>
      <c r="J81" s="112">
        <v>20200000</v>
      </c>
      <c r="K81" s="112"/>
      <c r="L81" s="112">
        <v>25200000</v>
      </c>
      <c r="M81" s="100"/>
      <c r="N81" s="100"/>
      <c r="O81" s="100"/>
      <c r="P81" s="100"/>
    </row>
    <row r="82" spans="2:16" ht="12.75">
      <c r="B82" s="117" t="s">
        <v>858</v>
      </c>
      <c r="C82" s="116" t="s">
        <v>431</v>
      </c>
      <c r="D82" s="109" t="s">
        <v>766</v>
      </c>
      <c r="E82" s="110" t="s">
        <v>360</v>
      </c>
      <c r="F82" s="110"/>
      <c r="G82" s="111"/>
      <c r="H82" s="103">
        <v>120000000</v>
      </c>
      <c r="I82" s="112">
        <v>80000000</v>
      </c>
      <c r="J82" s="112">
        <v>204077400</v>
      </c>
      <c r="K82" s="112"/>
      <c r="L82" s="112">
        <v>244077400</v>
      </c>
      <c r="M82" s="100"/>
      <c r="N82" s="100"/>
      <c r="O82" s="100"/>
      <c r="P82" s="100"/>
    </row>
    <row r="83" spans="2:16" ht="12.75">
      <c r="B83" s="117" t="s">
        <v>858</v>
      </c>
      <c r="C83" s="116" t="s">
        <v>432</v>
      </c>
      <c r="D83" s="109" t="s">
        <v>767</v>
      </c>
      <c r="E83" s="110" t="s">
        <v>360</v>
      </c>
      <c r="F83" s="110"/>
      <c r="G83" s="111"/>
      <c r="H83" s="103">
        <v>-50000000</v>
      </c>
      <c r="I83" s="112">
        <v>0</v>
      </c>
      <c r="J83" s="112">
        <v>5445000</v>
      </c>
      <c r="K83" s="112"/>
      <c r="L83" s="112">
        <v>-44555000</v>
      </c>
      <c r="M83" s="100"/>
      <c r="N83" s="100"/>
      <c r="O83" s="100"/>
      <c r="P83" s="100"/>
    </row>
    <row r="84" spans="2:16" ht="12.75">
      <c r="B84" s="117" t="s">
        <v>858</v>
      </c>
      <c r="C84" s="116" t="s">
        <v>433</v>
      </c>
      <c r="D84" s="109" t="s">
        <v>765</v>
      </c>
      <c r="E84" s="110" t="s">
        <v>360</v>
      </c>
      <c r="F84" s="110"/>
      <c r="G84" s="111"/>
      <c r="H84" s="103">
        <v>-40000000</v>
      </c>
      <c r="I84" s="112">
        <v>5000000</v>
      </c>
      <c r="J84" s="112">
        <v>11550000</v>
      </c>
      <c r="K84" s="112"/>
      <c r="L84" s="112">
        <v>-33450000</v>
      </c>
      <c r="M84" s="100"/>
      <c r="N84" s="100"/>
      <c r="O84" s="100"/>
      <c r="P84" s="100"/>
    </row>
    <row r="85" spans="2:16" ht="12.75">
      <c r="B85" s="117" t="s">
        <v>858</v>
      </c>
      <c r="C85" s="116" t="s">
        <v>434</v>
      </c>
      <c r="D85" s="109" t="s">
        <v>764</v>
      </c>
      <c r="E85" s="110" t="s">
        <v>360</v>
      </c>
      <c r="F85" s="110"/>
      <c r="G85" s="111"/>
      <c r="H85" s="103">
        <v>50000000</v>
      </c>
      <c r="I85" s="112">
        <v>0</v>
      </c>
      <c r="J85" s="112">
        <v>5598120</v>
      </c>
      <c r="K85" s="112"/>
      <c r="L85" s="112">
        <v>55598120</v>
      </c>
      <c r="M85" s="100"/>
      <c r="N85" s="100"/>
      <c r="O85" s="100"/>
      <c r="P85" s="100"/>
    </row>
    <row r="86" spans="2:16" ht="12.75">
      <c r="B86" s="117" t="s">
        <v>858</v>
      </c>
      <c r="C86" s="116" t="s">
        <v>435</v>
      </c>
      <c r="D86" s="109" t="s">
        <v>772</v>
      </c>
      <c r="E86" s="110" t="s">
        <v>360</v>
      </c>
      <c r="F86" s="110"/>
      <c r="G86" s="111"/>
      <c r="H86" s="103">
        <v>-100000000</v>
      </c>
      <c r="I86" s="112">
        <v>50000000</v>
      </c>
      <c r="J86" s="112">
        <v>2120492000</v>
      </c>
      <c r="K86" s="112"/>
      <c r="L86" s="112">
        <v>1970492000</v>
      </c>
      <c r="M86" s="100"/>
      <c r="N86" s="100"/>
      <c r="O86" s="100"/>
      <c r="P86" s="100"/>
    </row>
    <row r="87" spans="2:16" ht="12.75">
      <c r="B87" s="117" t="s">
        <v>858</v>
      </c>
      <c r="C87" s="116" t="s">
        <v>436</v>
      </c>
      <c r="D87" s="109" t="s">
        <v>773</v>
      </c>
      <c r="E87" s="110" t="s">
        <v>360</v>
      </c>
      <c r="F87" s="110"/>
      <c r="G87" s="111"/>
      <c r="H87" s="103">
        <v>50000000</v>
      </c>
      <c r="I87" s="112">
        <v>52000000</v>
      </c>
      <c r="J87" s="112">
        <v>57057000</v>
      </c>
      <c r="K87" s="112"/>
      <c r="L87" s="112">
        <v>55057000</v>
      </c>
      <c r="M87" s="100"/>
      <c r="N87" s="100"/>
      <c r="O87" s="100"/>
      <c r="P87" s="100"/>
    </row>
    <row r="88" spans="2:16" ht="12.75">
      <c r="B88" s="117" t="s">
        <v>858</v>
      </c>
      <c r="C88" s="116" t="s">
        <v>437</v>
      </c>
      <c r="D88" s="109" t="s">
        <v>771</v>
      </c>
      <c r="E88" s="110" t="s">
        <v>360</v>
      </c>
      <c r="F88" s="110"/>
      <c r="G88" s="111"/>
      <c r="H88" s="103">
        <v>-40000000</v>
      </c>
      <c r="I88" s="112">
        <v>9700000</v>
      </c>
      <c r="J88" s="112">
        <v>7348000</v>
      </c>
      <c r="K88" s="112"/>
      <c r="L88" s="112">
        <v>-42352000</v>
      </c>
      <c r="M88" s="100"/>
      <c r="N88" s="100"/>
      <c r="O88" s="100"/>
      <c r="P88" s="100"/>
    </row>
    <row r="89" spans="2:16" ht="12.75">
      <c r="B89" s="117" t="s">
        <v>858</v>
      </c>
      <c r="C89" s="116" t="s">
        <v>438</v>
      </c>
      <c r="D89" s="109" t="s">
        <v>770</v>
      </c>
      <c r="E89" s="110" t="s">
        <v>360</v>
      </c>
      <c r="F89" s="110"/>
      <c r="G89" s="111"/>
      <c r="H89" s="103">
        <v>15000000</v>
      </c>
      <c r="I89" s="112">
        <v>40000000</v>
      </c>
      <c r="J89" s="112">
        <v>253000000</v>
      </c>
      <c r="K89" s="112"/>
      <c r="L89" s="112">
        <v>228000000</v>
      </c>
      <c r="M89" s="100"/>
      <c r="N89" s="100"/>
      <c r="O89" s="100"/>
      <c r="P89" s="100"/>
    </row>
    <row r="90" spans="2:16" ht="12.75">
      <c r="B90" s="117" t="s">
        <v>858</v>
      </c>
      <c r="C90" s="116" t="s">
        <v>439</v>
      </c>
      <c r="D90" s="109" t="s">
        <v>769</v>
      </c>
      <c r="E90" s="110" t="s">
        <v>360</v>
      </c>
      <c r="F90" s="110"/>
      <c r="G90" s="111"/>
      <c r="H90" s="103">
        <v>40000000</v>
      </c>
      <c r="I90" s="112">
        <v>30000000</v>
      </c>
      <c r="J90" s="112">
        <v>3066140</v>
      </c>
      <c r="K90" s="112"/>
      <c r="L90" s="112">
        <v>13066140</v>
      </c>
      <c r="M90" s="100"/>
      <c r="N90" s="100"/>
      <c r="O90" s="100"/>
      <c r="P90" s="100"/>
    </row>
    <row r="91" spans="2:16" ht="12.75">
      <c r="B91" s="117" t="s">
        <v>858</v>
      </c>
      <c r="C91" s="116" t="s">
        <v>440</v>
      </c>
      <c r="D91" s="109" t="s">
        <v>774</v>
      </c>
      <c r="E91" s="110" t="s">
        <v>360</v>
      </c>
      <c r="F91" s="110"/>
      <c r="G91" s="111"/>
      <c r="H91" s="103">
        <v>150000000</v>
      </c>
      <c r="I91" s="112">
        <v>90000000</v>
      </c>
      <c r="J91" s="112">
        <v>235101900</v>
      </c>
      <c r="K91" s="112"/>
      <c r="L91" s="112">
        <v>295101900</v>
      </c>
      <c r="M91" s="100"/>
      <c r="N91" s="100"/>
      <c r="O91" s="100"/>
      <c r="P91" s="100"/>
    </row>
    <row r="92" spans="2:16" ht="12.75">
      <c r="B92" s="117" t="s">
        <v>858</v>
      </c>
      <c r="C92" s="116" t="s">
        <v>441</v>
      </c>
      <c r="D92" s="109" t="s">
        <v>776</v>
      </c>
      <c r="E92" s="110" t="s">
        <v>360</v>
      </c>
      <c r="F92" s="110"/>
      <c r="G92" s="111"/>
      <c r="H92" s="103">
        <v>65000000</v>
      </c>
      <c r="I92" s="112">
        <v>0</v>
      </c>
      <c r="J92" s="112">
        <v>0</v>
      </c>
      <c r="K92" s="112"/>
      <c r="L92" s="112">
        <v>65000000</v>
      </c>
      <c r="M92" s="100"/>
      <c r="N92" s="100"/>
      <c r="O92" s="100"/>
      <c r="P92" s="100"/>
    </row>
    <row r="93" spans="2:16" ht="12.75">
      <c r="B93" s="117" t="s">
        <v>858</v>
      </c>
      <c r="C93" s="116" t="s">
        <v>442</v>
      </c>
      <c r="D93" s="109" t="s">
        <v>775</v>
      </c>
      <c r="E93" s="110" t="s">
        <v>360</v>
      </c>
      <c r="F93" s="110"/>
      <c r="G93" s="111"/>
      <c r="H93" s="103"/>
      <c r="I93" s="112">
        <v>10000000</v>
      </c>
      <c r="J93" s="112">
        <v>33000000</v>
      </c>
      <c r="K93" s="112"/>
      <c r="L93" s="112">
        <v>23000000</v>
      </c>
      <c r="M93" s="100"/>
      <c r="N93" s="100"/>
      <c r="O93" s="100"/>
      <c r="P93" s="100"/>
    </row>
    <row r="94" spans="2:16" ht="12.75">
      <c r="B94" s="117" t="s">
        <v>858</v>
      </c>
      <c r="C94" s="116" t="s">
        <v>443</v>
      </c>
      <c r="D94" s="109" t="s">
        <v>768</v>
      </c>
      <c r="E94" s="110" t="s">
        <v>360</v>
      </c>
      <c r="F94" s="110"/>
      <c r="G94" s="111"/>
      <c r="H94" s="103">
        <v>150000000</v>
      </c>
      <c r="I94" s="112">
        <v>60000000</v>
      </c>
      <c r="J94" s="112">
        <v>133100000</v>
      </c>
      <c r="K94" s="112"/>
      <c r="L94" s="112">
        <v>223100000</v>
      </c>
      <c r="M94" s="100"/>
      <c r="N94" s="100"/>
      <c r="O94" s="100"/>
      <c r="P94" s="100"/>
    </row>
    <row r="95" spans="2:16" ht="12.75">
      <c r="B95" s="117" t="s">
        <v>859</v>
      </c>
      <c r="C95" s="116" t="s">
        <v>444</v>
      </c>
      <c r="D95" s="109" t="s">
        <v>777</v>
      </c>
      <c r="E95" s="110" t="s">
        <v>360</v>
      </c>
      <c r="F95" s="110"/>
      <c r="G95" s="111"/>
      <c r="H95" s="103">
        <v>50000000</v>
      </c>
      <c r="I95" s="112">
        <v>0</v>
      </c>
      <c r="J95" s="112">
        <v>0</v>
      </c>
      <c r="K95" s="112"/>
      <c r="L95" s="112">
        <v>50000000</v>
      </c>
      <c r="M95" s="100"/>
      <c r="N95" s="100"/>
      <c r="O95" s="100"/>
      <c r="P95" s="100"/>
    </row>
    <row r="96" spans="2:16" ht="12.75">
      <c r="B96" s="117" t="s">
        <v>859</v>
      </c>
      <c r="C96" s="116" t="s">
        <v>445</v>
      </c>
      <c r="D96" s="109" t="s">
        <v>778</v>
      </c>
      <c r="E96" s="110" t="s">
        <v>360</v>
      </c>
      <c r="F96" s="110"/>
      <c r="G96" s="111"/>
      <c r="H96" s="103">
        <v>100000000</v>
      </c>
      <c r="I96" s="112">
        <v>10000000</v>
      </c>
      <c r="J96" s="112">
        <v>0</v>
      </c>
      <c r="K96" s="112"/>
      <c r="L96" s="112">
        <v>90000000</v>
      </c>
      <c r="M96" s="100"/>
      <c r="N96" s="100"/>
      <c r="O96" s="100"/>
      <c r="P96" s="100"/>
    </row>
    <row r="97" spans="2:16" ht="12.75">
      <c r="B97" s="117" t="s">
        <v>859</v>
      </c>
      <c r="C97" s="116" t="s">
        <v>446</v>
      </c>
      <c r="D97" s="109" t="s">
        <v>779</v>
      </c>
      <c r="E97" s="110" t="s">
        <v>360</v>
      </c>
      <c r="F97" s="110"/>
      <c r="G97" s="111"/>
      <c r="H97" s="103">
        <v>36000000</v>
      </c>
      <c r="I97" s="112">
        <v>0</v>
      </c>
      <c r="J97" s="112">
        <v>0</v>
      </c>
      <c r="K97" s="112"/>
      <c r="L97" s="112">
        <v>36000000</v>
      </c>
      <c r="M97" s="100"/>
      <c r="N97" s="100"/>
      <c r="O97" s="100"/>
      <c r="P97" s="100"/>
    </row>
    <row r="98" spans="2:16" ht="12.75">
      <c r="B98" s="117" t="s">
        <v>859</v>
      </c>
      <c r="C98" s="116" t="s">
        <v>447</v>
      </c>
      <c r="D98" s="109" t="s">
        <v>780</v>
      </c>
      <c r="E98" s="110" t="s">
        <v>360</v>
      </c>
      <c r="F98" s="110"/>
      <c r="G98" s="111"/>
      <c r="H98" s="103">
        <v>50000000</v>
      </c>
      <c r="I98" s="112">
        <v>0</v>
      </c>
      <c r="J98" s="112">
        <v>0</v>
      </c>
      <c r="K98" s="112"/>
      <c r="L98" s="112">
        <v>50000000</v>
      </c>
      <c r="M98" s="100"/>
      <c r="N98" s="100"/>
      <c r="O98" s="100"/>
      <c r="P98" s="100"/>
    </row>
    <row r="99" spans="2:16" ht="12.75">
      <c r="B99" s="117" t="s">
        <v>859</v>
      </c>
      <c r="C99" s="116" t="s">
        <v>448</v>
      </c>
      <c r="D99" s="109" t="s">
        <v>781</v>
      </c>
      <c r="E99" s="110" t="s">
        <v>360</v>
      </c>
      <c r="F99" s="110"/>
      <c r="G99" s="111"/>
      <c r="H99" s="103">
        <v>20000000</v>
      </c>
      <c r="I99" s="112">
        <v>0</v>
      </c>
      <c r="J99" s="112">
        <v>0</v>
      </c>
      <c r="K99" s="112"/>
      <c r="L99" s="112">
        <v>20000000</v>
      </c>
      <c r="M99" s="100"/>
      <c r="N99" s="100"/>
      <c r="O99" s="100"/>
      <c r="P99" s="100"/>
    </row>
    <row r="100" spans="2:16" ht="12.75">
      <c r="B100" s="117" t="s">
        <v>859</v>
      </c>
      <c r="C100" s="116" t="s">
        <v>449</v>
      </c>
      <c r="D100" s="109" t="s">
        <v>782</v>
      </c>
      <c r="E100" s="110" t="s">
        <v>360</v>
      </c>
      <c r="F100" s="110"/>
      <c r="G100" s="111"/>
      <c r="H100" s="103">
        <v>15000000</v>
      </c>
      <c r="I100" s="112">
        <v>0</v>
      </c>
      <c r="J100" s="112">
        <v>19300000</v>
      </c>
      <c r="K100" s="112"/>
      <c r="L100" s="112">
        <v>34300000</v>
      </c>
      <c r="M100" s="100"/>
      <c r="N100" s="100"/>
      <c r="O100" s="100"/>
      <c r="P100" s="100"/>
    </row>
    <row r="101" spans="2:16" ht="12.75">
      <c r="B101" s="115" t="s">
        <v>860</v>
      </c>
      <c r="C101" s="116" t="s">
        <v>194</v>
      </c>
      <c r="D101" s="109" t="s">
        <v>195</v>
      </c>
      <c r="E101" s="110" t="s">
        <v>360</v>
      </c>
      <c r="F101" s="110"/>
      <c r="G101" s="111"/>
      <c r="H101" s="103">
        <v>3000000</v>
      </c>
      <c r="I101" s="112">
        <v>292287610</v>
      </c>
      <c r="J101" s="112">
        <v>93856000</v>
      </c>
      <c r="K101" s="112"/>
      <c r="L101" s="112">
        <v>-195431610</v>
      </c>
      <c r="M101" s="100"/>
      <c r="N101" s="100"/>
      <c r="O101" s="100"/>
      <c r="P101" s="100"/>
    </row>
    <row r="102" spans="2:16" ht="12.75">
      <c r="B102" s="115" t="s">
        <v>860</v>
      </c>
      <c r="C102" s="116" t="s">
        <v>196</v>
      </c>
      <c r="D102" s="109" t="s">
        <v>197</v>
      </c>
      <c r="E102" s="110" t="s">
        <v>360</v>
      </c>
      <c r="F102" s="110"/>
      <c r="G102" s="111"/>
      <c r="H102" s="103">
        <v>2500000</v>
      </c>
      <c r="I102" s="112">
        <v>0</v>
      </c>
      <c r="J102" s="112">
        <v>0</v>
      </c>
      <c r="K102" s="112"/>
      <c r="L102" s="112">
        <v>2500000</v>
      </c>
      <c r="M102" s="100"/>
      <c r="N102" s="100"/>
      <c r="O102" s="100"/>
      <c r="P102" s="100"/>
    </row>
    <row r="103" spans="2:16" ht="12.75">
      <c r="B103" s="115" t="s">
        <v>860</v>
      </c>
      <c r="C103" s="116" t="s">
        <v>198</v>
      </c>
      <c r="D103" s="109" t="s">
        <v>199</v>
      </c>
      <c r="E103" s="110" t="s">
        <v>360</v>
      </c>
      <c r="F103" s="110"/>
      <c r="G103" s="111"/>
      <c r="H103" s="103"/>
      <c r="I103" s="112">
        <v>0</v>
      </c>
      <c r="J103" s="112">
        <v>0</v>
      </c>
      <c r="K103" s="112"/>
      <c r="L103" s="112">
        <v>0</v>
      </c>
      <c r="M103" s="100"/>
      <c r="N103" s="100"/>
      <c r="O103" s="100"/>
      <c r="P103" s="100"/>
    </row>
    <row r="104" spans="2:16" ht="12.75">
      <c r="B104" s="115" t="s">
        <v>860</v>
      </c>
      <c r="C104" s="116" t="s">
        <v>450</v>
      </c>
      <c r="D104" s="109" t="s">
        <v>451</v>
      </c>
      <c r="E104" s="110" t="s">
        <v>360</v>
      </c>
      <c r="F104" s="110"/>
      <c r="G104" s="111"/>
      <c r="H104" s="103"/>
      <c r="I104" s="112">
        <v>1000000</v>
      </c>
      <c r="J104" s="112">
        <v>5147500</v>
      </c>
      <c r="K104" s="112"/>
      <c r="L104" s="112">
        <v>4147500</v>
      </c>
      <c r="M104" s="100"/>
      <c r="N104" s="100"/>
      <c r="O104" s="100"/>
      <c r="P104" s="100"/>
    </row>
    <row r="105" spans="2:16" ht="12.75">
      <c r="B105" s="115" t="s">
        <v>860</v>
      </c>
      <c r="C105" s="119" t="s">
        <v>452</v>
      </c>
      <c r="D105" s="109" t="s">
        <v>453</v>
      </c>
      <c r="E105" s="110" t="s">
        <v>360</v>
      </c>
      <c r="F105" s="110"/>
      <c r="G105" s="111"/>
      <c r="H105" s="103"/>
      <c r="I105" s="112">
        <v>282750</v>
      </c>
      <c r="J105" s="112">
        <v>282750</v>
      </c>
      <c r="K105" s="112"/>
      <c r="L105" s="112">
        <v>0</v>
      </c>
      <c r="M105" s="100"/>
      <c r="N105" s="100"/>
      <c r="O105" s="100"/>
      <c r="P105" s="100"/>
    </row>
    <row r="106" spans="2:16" ht="12.75">
      <c r="B106" s="115" t="s">
        <v>860</v>
      </c>
      <c r="C106" s="116" t="s">
        <v>454</v>
      </c>
      <c r="D106" s="109" t="s">
        <v>200</v>
      </c>
      <c r="E106" s="110" t="s">
        <v>360</v>
      </c>
      <c r="F106" s="110"/>
      <c r="G106" s="111"/>
      <c r="H106" s="103"/>
      <c r="I106" s="112">
        <v>0</v>
      </c>
      <c r="J106" s="112">
        <v>0</v>
      </c>
      <c r="K106" s="112"/>
      <c r="L106" s="112">
        <v>0</v>
      </c>
      <c r="M106" s="100"/>
      <c r="N106" s="100"/>
      <c r="O106" s="100"/>
      <c r="P106" s="100"/>
    </row>
    <row r="107" spans="2:16" ht="12.75">
      <c r="B107" s="115" t="s">
        <v>860</v>
      </c>
      <c r="C107" s="116" t="s">
        <v>455</v>
      </c>
      <c r="D107" s="109" t="s">
        <v>456</v>
      </c>
      <c r="E107" s="110" t="s">
        <v>360</v>
      </c>
      <c r="F107" s="110"/>
      <c r="G107" s="111"/>
      <c r="H107" s="103">
        <v>5000000</v>
      </c>
      <c r="I107" s="112">
        <v>0</v>
      </c>
      <c r="J107" s="112">
        <v>1975000</v>
      </c>
      <c r="K107" s="112"/>
      <c r="L107" s="112">
        <v>6975000</v>
      </c>
      <c r="M107" s="100"/>
      <c r="N107" s="100"/>
      <c r="O107" s="100"/>
      <c r="P107" s="100"/>
    </row>
    <row r="108" spans="2:16" ht="12.75">
      <c r="B108" s="115" t="s">
        <v>860</v>
      </c>
      <c r="C108" s="116" t="s">
        <v>457</v>
      </c>
      <c r="D108" s="109" t="s">
        <v>458</v>
      </c>
      <c r="E108" s="110" t="s">
        <v>360</v>
      </c>
      <c r="F108" s="110"/>
      <c r="G108" s="111"/>
      <c r="H108" s="103">
        <v>12000000</v>
      </c>
      <c r="I108" s="112">
        <v>1200000</v>
      </c>
      <c r="J108" s="112">
        <v>0</v>
      </c>
      <c r="K108" s="112"/>
      <c r="L108" s="112">
        <v>10800000</v>
      </c>
      <c r="M108" s="100"/>
      <c r="N108" s="100"/>
      <c r="O108" s="100"/>
      <c r="P108" s="100"/>
    </row>
    <row r="109" spans="2:16" ht="12.75">
      <c r="B109" s="115" t="s">
        <v>860</v>
      </c>
      <c r="C109" s="116" t="s">
        <v>459</v>
      </c>
      <c r="D109" s="109" t="s">
        <v>201</v>
      </c>
      <c r="E109" s="110" t="s">
        <v>360</v>
      </c>
      <c r="F109" s="110"/>
      <c r="G109" s="111"/>
      <c r="H109" s="103">
        <v>8000000</v>
      </c>
      <c r="I109" s="112">
        <v>0</v>
      </c>
      <c r="J109" s="112">
        <v>4942253.703703703</v>
      </c>
      <c r="K109" s="112"/>
      <c r="L109" s="112">
        <v>12942253.703703703</v>
      </c>
      <c r="M109" s="100"/>
      <c r="N109" s="100"/>
      <c r="O109" s="100"/>
      <c r="P109" s="100"/>
    </row>
    <row r="110" spans="2:16" ht="12.75">
      <c r="B110" s="115" t="s">
        <v>860</v>
      </c>
      <c r="C110" s="116" t="s">
        <v>461</v>
      </c>
      <c r="D110" s="109" t="s">
        <v>460</v>
      </c>
      <c r="E110" s="110" t="s">
        <v>360</v>
      </c>
      <c r="F110" s="110"/>
      <c r="G110" s="111"/>
      <c r="H110" s="103"/>
      <c r="I110" s="112">
        <v>0</v>
      </c>
      <c r="J110" s="112">
        <v>0</v>
      </c>
      <c r="K110" s="112"/>
      <c r="L110" s="112">
        <v>0</v>
      </c>
      <c r="M110" s="100"/>
      <c r="N110" s="100"/>
      <c r="O110" s="100"/>
      <c r="P110" s="100"/>
    </row>
    <row r="111" spans="2:16" ht="12.75">
      <c r="B111" s="115" t="s">
        <v>860</v>
      </c>
      <c r="C111" s="116" t="s">
        <v>462</v>
      </c>
      <c r="D111" s="109" t="s">
        <v>463</v>
      </c>
      <c r="E111" s="110" t="s">
        <v>360</v>
      </c>
      <c r="F111" s="110"/>
      <c r="G111" s="111"/>
      <c r="H111" s="103"/>
      <c r="I111" s="112">
        <v>0</v>
      </c>
      <c r="J111" s="112">
        <v>0</v>
      </c>
      <c r="K111" s="112"/>
      <c r="L111" s="112">
        <v>0</v>
      </c>
      <c r="M111" s="100"/>
      <c r="N111" s="100"/>
      <c r="O111" s="100"/>
      <c r="P111" s="100"/>
    </row>
    <row r="112" spans="2:16" ht="12.75">
      <c r="B112" s="115" t="s">
        <v>860</v>
      </c>
      <c r="C112" s="116" t="s">
        <v>464</v>
      </c>
      <c r="D112" s="109" t="s">
        <v>465</v>
      </c>
      <c r="E112" s="110" t="s">
        <v>360</v>
      </c>
      <c r="F112" s="110"/>
      <c r="G112" s="111"/>
      <c r="H112" s="103"/>
      <c r="I112" s="112">
        <v>0</v>
      </c>
      <c r="J112" s="112">
        <v>1500000</v>
      </c>
      <c r="K112" s="112"/>
      <c r="L112" s="112">
        <v>1500000</v>
      </c>
      <c r="M112" s="100"/>
      <c r="N112" s="100"/>
      <c r="O112" s="100"/>
      <c r="P112" s="100"/>
    </row>
    <row r="113" spans="2:16" ht="12.75">
      <c r="B113" s="115" t="s">
        <v>860</v>
      </c>
      <c r="C113" s="116" t="s">
        <v>466</v>
      </c>
      <c r="D113" s="109" t="s">
        <v>467</v>
      </c>
      <c r="E113" s="110" t="s">
        <v>360</v>
      </c>
      <c r="F113" s="110"/>
      <c r="G113" s="111"/>
      <c r="H113" s="103"/>
      <c r="I113" s="112">
        <v>0</v>
      </c>
      <c r="J113" s="112">
        <v>0</v>
      </c>
      <c r="K113" s="112"/>
      <c r="L113" s="112">
        <v>0</v>
      </c>
      <c r="M113" s="100"/>
      <c r="N113" s="100"/>
      <c r="O113" s="100"/>
      <c r="P113" s="100"/>
    </row>
    <row r="114" spans="2:16" ht="12.75">
      <c r="B114" s="115" t="s">
        <v>861</v>
      </c>
      <c r="C114" s="116" t="s">
        <v>750</v>
      </c>
      <c r="D114" s="109" t="s">
        <v>468</v>
      </c>
      <c r="E114" s="110" t="s">
        <v>360</v>
      </c>
      <c r="F114" s="110"/>
      <c r="G114" s="111"/>
      <c r="H114" s="103">
        <v>70000000</v>
      </c>
      <c r="I114" s="112">
        <v>116096253.7037037</v>
      </c>
      <c r="J114" s="112">
        <v>351340740.7407407</v>
      </c>
      <c r="K114" s="112"/>
      <c r="L114" s="112">
        <v>305244487.037037</v>
      </c>
      <c r="M114" s="100"/>
      <c r="N114" s="100"/>
      <c r="O114" s="100"/>
      <c r="P114" s="100"/>
    </row>
    <row r="115" spans="2:16" ht="12.75">
      <c r="B115" s="115" t="s">
        <v>862</v>
      </c>
      <c r="C115" s="116" t="s">
        <v>469</v>
      </c>
      <c r="D115" s="109" t="s">
        <v>470</v>
      </c>
      <c r="E115" s="110" t="s">
        <v>360</v>
      </c>
      <c r="F115" s="110"/>
      <c r="G115" s="111"/>
      <c r="H115" s="103">
        <v>31543000</v>
      </c>
      <c r="I115" s="112">
        <v>0</v>
      </c>
      <c r="J115" s="112">
        <v>0</v>
      </c>
      <c r="K115" s="112"/>
      <c r="L115" s="112">
        <v>31543000</v>
      </c>
      <c r="M115" s="100"/>
      <c r="N115" s="100"/>
      <c r="O115" s="100"/>
      <c r="P115" s="100"/>
    </row>
    <row r="116" spans="2:16" ht="12.75">
      <c r="B116" s="115" t="s">
        <v>863</v>
      </c>
      <c r="C116" s="116" t="s">
        <v>471</v>
      </c>
      <c r="D116" s="109" t="s">
        <v>472</v>
      </c>
      <c r="E116" s="110" t="s">
        <v>360</v>
      </c>
      <c r="F116" s="110"/>
      <c r="G116" s="111"/>
      <c r="H116" s="103">
        <v>2550000</v>
      </c>
      <c r="I116" s="112">
        <v>0</v>
      </c>
      <c r="J116" s="112">
        <v>0</v>
      </c>
      <c r="K116" s="112"/>
      <c r="L116" s="112">
        <v>2550000</v>
      </c>
      <c r="M116" s="100"/>
      <c r="N116" s="100"/>
      <c r="O116" s="100"/>
      <c r="P116" s="100"/>
    </row>
    <row r="117" spans="2:16" ht="12.75">
      <c r="B117" s="117" t="s">
        <v>864</v>
      </c>
      <c r="C117" s="116" t="s">
        <v>473</v>
      </c>
      <c r="D117" s="109" t="s">
        <v>474</v>
      </c>
      <c r="E117" s="110" t="s">
        <v>360</v>
      </c>
      <c r="F117" s="110"/>
      <c r="G117" s="111"/>
      <c r="H117" s="103">
        <v>96940214</v>
      </c>
      <c r="I117" s="112">
        <v>0</v>
      </c>
      <c r="J117" s="112">
        <v>0</v>
      </c>
      <c r="K117" s="112"/>
      <c r="L117" s="112">
        <v>96940214</v>
      </c>
      <c r="M117" s="100"/>
      <c r="N117" s="100"/>
      <c r="O117" s="100"/>
      <c r="P117" s="100"/>
    </row>
    <row r="118" spans="2:16" ht="12.75">
      <c r="B118" s="115" t="s">
        <v>865</v>
      </c>
      <c r="C118" s="118" t="s">
        <v>165</v>
      </c>
      <c r="D118" s="109" t="s">
        <v>202</v>
      </c>
      <c r="E118" s="110" t="s">
        <v>360</v>
      </c>
      <c r="F118" s="110"/>
      <c r="G118" s="111"/>
      <c r="H118" s="103">
        <v>-20000000</v>
      </c>
      <c r="I118" s="112">
        <v>0</v>
      </c>
      <c r="J118" s="112">
        <v>0</v>
      </c>
      <c r="K118" s="112"/>
      <c r="L118" s="112">
        <v>-20000000</v>
      </c>
      <c r="M118" s="100"/>
      <c r="N118" s="100"/>
      <c r="O118" s="100"/>
      <c r="P118" s="100"/>
    </row>
    <row r="119" spans="2:16" ht="12.75">
      <c r="B119" s="115" t="s">
        <v>866</v>
      </c>
      <c r="C119" s="116" t="s">
        <v>203</v>
      </c>
      <c r="D119" s="109" t="s">
        <v>204</v>
      </c>
      <c r="E119" s="110" t="s">
        <v>360</v>
      </c>
      <c r="F119" s="110"/>
      <c r="G119" s="111"/>
      <c r="H119" s="103">
        <v>99357000</v>
      </c>
      <c r="I119" s="112">
        <v>0</v>
      </c>
      <c r="J119" s="112">
        <v>0</v>
      </c>
      <c r="K119" s="112"/>
      <c r="L119" s="112">
        <v>99357000</v>
      </c>
      <c r="M119" s="100"/>
      <c r="N119" s="100"/>
      <c r="O119" s="100"/>
      <c r="P119" s="100"/>
    </row>
    <row r="120" spans="2:16" ht="12.75">
      <c r="B120" s="117" t="s">
        <v>867</v>
      </c>
      <c r="C120" s="116" t="s">
        <v>205</v>
      </c>
      <c r="D120" s="109" t="s">
        <v>206</v>
      </c>
      <c r="E120" s="110" t="s">
        <v>360</v>
      </c>
      <c r="F120" s="110"/>
      <c r="G120" s="111"/>
      <c r="H120" s="103">
        <v>30000000</v>
      </c>
      <c r="I120" s="112">
        <v>1500000</v>
      </c>
      <c r="J120" s="112">
        <v>5816000</v>
      </c>
      <c r="K120" s="112"/>
      <c r="L120" s="112">
        <v>34316000</v>
      </c>
      <c r="M120" s="100"/>
      <c r="N120" s="100"/>
      <c r="O120" s="100"/>
      <c r="P120" s="100"/>
    </row>
    <row r="121" spans="2:16" ht="12.75">
      <c r="B121" s="117" t="s">
        <v>867</v>
      </c>
      <c r="C121" s="116" t="s">
        <v>207</v>
      </c>
      <c r="D121" s="109" t="s">
        <v>208</v>
      </c>
      <c r="E121" s="110" t="s">
        <v>360</v>
      </c>
      <c r="F121" s="110"/>
      <c r="G121" s="111"/>
      <c r="H121" s="103"/>
      <c r="I121" s="112">
        <v>5000000</v>
      </c>
      <c r="J121" s="112">
        <v>74154000</v>
      </c>
      <c r="K121" s="112"/>
      <c r="L121" s="112">
        <v>69154000</v>
      </c>
      <c r="M121" s="100"/>
      <c r="N121" s="100"/>
      <c r="O121" s="100"/>
      <c r="P121" s="100"/>
    </row>
    <row r="122" spans="2:16" ht="12.75">
      <c r="B122" s="117" t="s">
        <v>867</v>
      </c>
      <c r="C122" s="116" t="s">
        <v>209</v>
      </c>
      <c r="D122" s="109" t="s">
        <v>210</v>
      </c>
      <c r="E122" s="110" t="s">
        <v>360</v>
      </c>
      <c r="F122" s="110"/>
      <c r="G122" s="111"/>
      <c r="H122" s="103"/>
      <c r="I122" s="112">
        <v>0</v>
      </c>
      <c r="J122" s="112">
        <v>13086000</v>
      </c>
      <c r="K122" s="112"/>
      <c r="L122" s="112">
        <v>13086000</v>
      </c>
      <c r="M122" s="100"/>
      <c r="N122" s="100"/>
      <c r="O122" s="100"/>
      <c r="P122" s="100"/>
    </row>
    <row r="123" spans="2:16" ht="12.75">
      <c r="B123" s="117" t="s">
        <v>867</v>
      </c>
      <c r="C123" s="116" t="s">
        <v>751</v>
      </c>
      <c r="D123" s="109" t="s">
        <v>212</v>
      </c>
      <c r="E123" s="110" t="s">
        <v>360</v>
      </c>
      <c r="F123" s="110"/>
      <c r="G123" s="111"/>
      <c r="H123" s="103"/>
      <c r="I123" s="112">
        <v>0</v>
      </c>
      <c r="J123" s="112">
        <v>5816000</v>
      </c>
      <c r="K123" s="112"/>
      <c r="L123" s="112">
        <v>5816000</v>
      </c>
      <c r="M123" s="100"/>
      <c r="N123" s="100"/>
      <c r="O123" s="100"/>
      <c r="P123" s="100"/>
    </row>
    <row r="124" spans="2:16" ht="12.75">
      <c r="B124" s="117" t="s">
        <v>867</v>
      </c>
      <c r="C124" s="116" t="s">
        <v>211</v>
      </c>
      <c r="D124" s="109" t="s">
        <v>475</v>
      </c>
      <c r="E124" s="110" t="s">
        <v>360</v>
      </c>
      <c r="F124" s="110"/>
      <c r="G124" s="111"/>
      <c r="H124" s="103">
        <v>22300000</v>
      </c>
      <c r="I124" s="112">
        <v>0</v>
      </c>
      <c r="J124" s="112">
        <v>0</v>
      </c>
      <c r="K124" s="112"/>
      <c r="L124" s="112">
        <v>22300000</v>
      </c>
      <c r="M124" s="100"/>
      <c r="N124" s="100"/>
      <c r="O124" s="100"/>
      <c r="P124" s="100"/>
    </row>
    <row r="125" spans="2:16" ht="12.75">
      <c r="B125" s="117" t="s">
        <v>868</v>
      </c>
      <c r="C125" s="116" t="s">
        <v>747</v>
      </c>
      <c r="D125" s="114" t="s">
        <v>748</v>
      </c>
      <c r="E125" s="110" t="s">
        <v>360</v>
      </c>
      <c r="F125" s="110"/>
      <c r="G125" s="111"/>
      <c r="H125" s="103">
        <v>175000000</v>
      </c>
      <c r="I125" s="112">
        <v>150000000</v>
      </c>
      <c r="J125" s="112">
        <v>130000000</v>
      </c>
      <c r="K125" s="112"/>
      <c r="L125" s="112">
        <v>155000000</v>
      </c>
      <c r="M125" s="100"/>
      <c r="N125" s="100"/>
      <c r="O125" s="100"/>
      <c r="P125" s="100"/>
    </row>
    <row r="126" spans="2:16" ht="12.75">
      <c r="B126" s="117" t="s">
        <v>869</v>
      </c>
      <c r="C126" s="116" t="s">
        <v>746</v>
      </c>
      <c r="D126" s="114" t="s">
        <v>749</v>
      </c>
      <c r="E126" s="110" t="s">
        <v>360</v>
      </c>
      <c r="F126" s="110"/>
      <c r="G126" s="111"/>
      <c r="H126" s="103">
        <v>750000000</v>
      </c>
      <c r="I126" s="112">
        <v>30000000</v>
      </c>
      <c r="J126" s="112">
        <v>0</v>
      </c>
      <c r="K126" s="112"/>
      <c r="L126" s="112">
        <v>720000000</v>
      </c>
      <c r="M126" s="100"/>
      <c r="N126" s="100"/>
      <c r="O126" s="100"/>
      <c r="P126" s="100"/>
    </row>
    <row r="127" spans="2:16" ht="12.75">
      <c r="B127" s="117" t="s">
        <v>870</v>
      </c>
      <c r="C127" s="116" t="s">
        <v>476</v>
      </c>
      <c r="D127" s="109" t="s">
        <v>477</v>
      </c>
      <c r="E127" s="110" t="s">
        <v>360</v>
      </c>
      <c r="F127" s="110"/>
      <c r="G127" s="111"/>
      <c r="H127" s="103">
        <v>40000000</v>
      </c>
      <c r="I127" s="112">
        <v>0</v>
      </c>
      <c r="J127" s="112">
        <v>0</v>
      </c>
      <c r="K127" s="112"/>
      <c r="L127" s="112">
        <v>40000000</v>
      </c>
      <c r="M127" s="100"/>
      <c r="N127" s="100"/>
      <c r="O127" s="100"/>
      <c r="P127" s="100"/>
    </row>
    <row r="128" spans="2:16" ht="12.75">
      <c r="B128" s="117" t="s">
        <v>871</v>
      </c>
      <c r="C128" s="118" t="s">
        <v>213</v>
      </c>
      <c r="D128" s="109" t="s">
        <v>5</v>
      </c>
      <c r="E128" s="110" t="s">
        <v>360</v>
      </c>
      <c r="F128" s="110"/>
      <c r="G128" s="111"/>
      <c r="H128" s="103">
        <v>148150000</v>
      </c>
      <c r="I128" s="112">
        <v>14500000</v>
      </c>
      <c r="J128" s="112">
        <v>0</v>
      </c>
      <c r="K128" s="112"/>
      <c r="L128" s="112">
        <v>133650000</v>
      </c>
      <c r="M128" s="100"/>
      <c r="N128" s="100"/>
      <c r="O128" s="100"/>
      <c r="P128" s="100"/>
    </row>
    <row r="129" spans="2:16" ht="12.75">
      <c r="B129" s="117" t="s">
        <v>871</v>
      </c>
      <c r="C129" s="118" t="s">
        <v>214</v>
      </c>
      <c r="D129" s="109" t="s">
        <v>173</v>
      </c>
      <c r="E129" s="110" t="s">
        <v>360</v>
      </c>
      <c r="F129" s="110"/>
      <c r="G129" s="111"/>
      <c r="H129" s="103">
        <v>56000000</v>
      </c>
      <c r="I129" s="112">
        <v>0</v>
      </c>
      <c r="J129" s="112">
        <v>0</v>
      </c>
      <c r="K129" s="112"/>
      <c r="L129" s="112">
        <v>56000000</v>
      </c>
      <c r="M129" s="100"/>
      <c r="N129" s="100"/>
      <c r="O129" s="100"/>
      <c r="P129" s="100"/>
    </row>
    <row r="130" spans="2:16" ht="12.75">
      <c r="B130" s="117" t="s">
        <v>871</v>
      </c>
      <c r="C130" s="118" t="s">
        <v>215</v>
      </c>
      <c r="D130" s="109" t="s">
        <v>216</v>
      </c>
      <c r="E130" s="110" t="s">
        <v>360</v>
      </c>
      <c r="F130" s="110"/>
      <c r="G130" s="111"/>
      <c r="H130" s="103">
        <v>58000000</v>
      </c>
      <c r="I130" s="112">
        <v>0</v>
      </c>
      <c r="J130" s="112">
        <v>0</v>
      </c>
      <c r="K130" s="112"/>
      <c r="L130" s="112">
        <v>58000000</v>
      </c>
      <c r="M130" s="100"/>
      <c r="N130" s="100"/>
      <c r="O130" s="100"/>
      <c r="P130" s="100"/>
    </row>
    <row r="131" spans="2:16" ht="12.75">
      <c r="B131" s="117" t="s">
        <v>871</v>
      </c>
      <c r="C131" s="118" t="s">
        <v>217</v>
      </c>
      <c r="D131" s="109" t="s">
        <v>218</v>
      </c>
      <c r="E131" s="110" t="s">
        <v>360</v>
      </c>
      <c r="F131" s="110"/>
      <c r="G131" s="111"/>
      <c r="H131" s="103">
        <v>65000000</v>
      </c>
      <c r="I131" s="112">
        <v>0</v>
      </c>
      <c r="J131" s="112">
        <v>0</v>
      </c>
      <c r="K131" s="112"/>
      <c r="L131" s="112">
        <v>65000000</v>
      </c>
      <c r="M131" s="100"/>
      <c r="N131" s="100"/>
      <c r="O131" s="100"/>
      <c r="P131" s="100"/>
    </row>
    <row r="132" spans="2:16" ht="12.75">
      <c r="B132" s="117" t="s">
        <v>872</v>
      </c>
      <c r="C132" s="116" t="s">
        <v>219</v>
      </c>
      <c r="D132" s="109" t="s">
        <v>220</v>
      </c>
      <c r="E132" s="110" t="s">
        <v>360</v>
      </c>
      <c r="F132" s="110"/>
      <c r="G132" s="111"/>
      <c r="H132" s="103">
        <v>140000000</v>
      </c>
      <c r="I132" s="112">
        <v>0</v>
      </c>
      <c r="J132" s="112">
        <v>0</v>
      </c>
      <c r="K132" s="112"/>
      <c r="L132" s="112">
        <v>140000000</v>
      </c>
      <c r="M132" s="100"/>
      <c r="N132" s="100"/>
      <c r="O132" s="100"/>
      <c r="P132" s="100"/>
    </row>
    <row r="133" spans="2:16" ht="12.75">
      <c r="B133" s="117" t="s">
        <v>873</v>
      </c>
      <c r="C133" s="116" t="s">
        <v>478</v>
      </c>
      <c r="D133" s="109" t="s">
        <v>479</v>
      </c>
      <c r="E133" s="110" t="s">
        <v>360</v>
      </c>
      <c r="F133" s="110"/>
      <c r="G133" s="111"/>
      <c r="H133" s="103">
        <v>3343650790</v>
      </c>
      <c r="I133" s="112">
        <v>0</v>
      </c>
      <c r="J133" s="112">
        <v>75000000</v>
      </c>
      <c r="K133" s="112"/>
      <c r="L133" s="112">
        <v>3418650790</v>
      </c>
      <c r="M133" s="100"/>
      <c r="N133" s="100"/>
      <c r="O133" s="100"/>
      <c r="P133" s="100"/>
    </row>
    <row r="134" spans="2:16" ht="12.75">
      <c r="B134" s="117" t="s">
        <v>874</v>
      </c>
      <c r="C134" s="116" t="s">
        <v>480</v>
      </c>
      <c r="D134" s="109" t="s">
        <v>481</v>
      </c>
      <c r="E134" s="110" t="s">
        <v>360</v>
      </c>
      <c r="F134" s="110"/>
      <c r="G134" s="111"/>
      <c r="H134" s="103"/>
      <c r="I134" s="112">
        <v>0</v>
      </c>
      <c r="J134" s="112">
        <v>0</v>
      </c>
      <c r="K134" s="112"/>
      <c r="L134" s="112">
        <v>0</v>
      </c>
      <c r="M134" s="100"/>
      <c r="N134" s="100"/>
      <c r="O134" s="100"/>
      <c r="P134" s="100"/>
    </row>
    <row r="135" spans="2:16" ht="12.75">
      <c r="B135" s="117" t="s">
        <v>875</v>
      </c>
      <c r="C135" s="116" t="s">
        <v>0</v>
      </c>
      <c r="D135" s="109" t="s">
        <v>170</v>
      </c>
      <c r="E135" s="110" t="s">
        <v>360</v>
      </c>
      <c r="F135" s="110"/>
      <c r="G135" s="111"/>
      <c r="H135" s="103"/>
      <c r="I135" s="112">
        <v>0</v>
      </c>
      <c r="J135" s="112">
        <v>0</v>
      </c>
      <c r="K135" s="112"/>
      <c r="L135" s="112">
        <v>0</v>
      </c>
      <c r="M135" s="100"/>
      <c r="N135" s="100"/>
      <c r="O135" s="100"/>
      <c r="P135" s="100"/>
    </row>
    <row r="136" spans="2:16" ht="12.75">
      <c r="B136" s="117" t="s">
        <v>876</v>
      </c>
      <c r="C136" s="116" t="s">
        <v>1</v>
      </c>
      <c r="D136" s="109" t="s">
        <v>2</v>
      </c>
      <c r="E136" s="110" t="s">
        <v>360</v>
      </c>
      <c r="F136" s="110"/>
      <c r="G136" s="111"/>
      <c r="H136" s="103">
        <v>78000000</v>
      </c>
      <c r="I136" s="112">
        <v>40000000</v>
      </c>
      <c r="J136" s="112">
        <v>0</v>
      </c>
      <c r="K136" s="112"/>
      <c r="L136" s="112">
        <v>38000000</v>
      </c>
      <c r="M136" s="100"/>
      <c r="N136" s="100"/>
      <c r="O136" s="100"/>
      <c r="P136" s="100"/>
    </row>
    <row r="137" spans="2:16" ht="12.75">
      <c r="B137" s="117" t="s">
        <v>877</v>
      </c>
      <c r="C137" s="118" t="s">
        <v>3</v>
      </c>
      <c r="D137" s="109" t="s">
        <v>221</v>
      </c>
      <c r="E137" s="110" t="s">
        <v>360</v>
      </c>
      <c r="F137" s="110"/>
      <c r="G137" s="111"/>
      <c r="H137" s="103">
        <v>23000000</v>
      </c>
      <c r="I137" s="112">
        <v>0</v>
      </c>
      <c r="J137" s="112">
        <v>0</v>
      </c>
      <c r="K137" s="112"/>
      <c r="L137" s="112">
        <v>23000000</v>
      </c>
      <c r="M137" s="100"/>
      <c r="N137" s="100"/>
      <c r="O137" s="100"/>
      <c r="P137" s="100"/>
    </row>
    <row r="138" spans="2:16" ht="12.75">
      <c r="B138" s="117" t="s">
        <v>878</v>
      </c>
      <c r="C138" s="116" t="s">
        <v>326</v>
      </c>
      <c r="D138" s="109" t="s">
        <v>169</v>
      </c>
      <c r="E138" s="110" t="s">
        <v>360</v>
      </c>
      <c r="F138" s="110"/>
      <c r="G138" s="111"/>
      <c r="H138" s="103">
        <v>16000000</v>
      </c>
      <c r="I138" s="112">
        <v>0</v>
      </c>
      <c r="J138" s="112">
        <v>0</v>
      </c>
      <c r="K138" s="112"/>
      <c r="L138" s="112">
        <v>16000000</v>
      </c>
      <c r="M138" s="100"/>
      <c r="N138" s="100"/>
      <c r="O138" s="100"/>
      <c r="P138" s="100"/>
    </row>
    <row r="139" spans="2:16" ht="12.75">
      <c r="B139" s="117" t="s">
        <v>879</v>
      </c>
      <c r="C139" s="116" t="s">
        <v>327</v>
      </c>
      <c r="D139" s="109" t="s">
        <v>945</v>
      </c>
      <c r="E139" s="110" t="s">
        <v>345</v>
      </c>
      <c r="F139" s="110"/>
      <c r="G139" s="111"/>
      <c r="H139" s="103">
        <v>8000000</v>
      </c>
      <c r="I139" s="112">
        <v>0</v>
      </c>
      <c r="J139" s="112">
        <v>0</v>
      </c>
      <c r="K139" s="112"/>
      <c r="L139" s="112">
        <v>8000000</v>
      </c>
      <c r="M139" s="100"/>
      <c r="N139" s="100"/>
      <c r="O139" s="100"/>
      <c r="P139" s="100"/>
    </row>
    <row r="140" spans="2:16" ht="12.75">
      <c r="B140" s="117" t="s">
        <v>880</v>
      </c>
      <c r="C140" s="116" t="s">
        <v>4</v>
      </c>
      <c r="D140" s="109" t="s">
        <v>171</v>
      </c>
      <c r="E140" s="110" t="s">
        <v>360</v>
      </c>
      <c r="F140" s="110"/>
      <c r="G140" s="111"/>
      <c r="H140" s="103">
        <v>75000000</v>
      </c>
      <c r="I140" s="112">
        <v>88709012.54629612</v>
      </c>
      <c r="J140" s="112">
        <v>0</v>
      </c>
      <c r="K140" s="112"/>
      <c r="L140" s="112">
        <v>-13709012.54629612</v>
      </c>
      <c r="M140" s="100"/>
      <c r="N140" s="100"/>
      <c r="O140" s="100"/>
      <c r="P140" s="100"/>
    </row>
    <row r="141" spans="2:16" ht="12.75">
      <c r="B141" s="117" t="s">
        <v>881</v>
      </c>
      <c r="C141" s="116" t="s">
        <v>6</v>
      </c>
      <c r="D141" s="109" t="s">
        <v>7</v>
      </c>
      <c r="E141" s="110" t="s">
        <v>360</v>
      </c>
      <c r="F141" s="110"/>
      <c r="G141" s="111"/>
      <c r="H141" s="103">
        <v>50000000</v>
      </c>
      <c r="I141" s="112">
        <v>35000000</v>
      </c>
      <c r="J141" s="112">
        <v>0</v>
      </c>
      <c r="K141" s="112"/>
      <c r="L141" s="112">
        <v>15000000</v>
      </c>
      <c r="M141" s="100"/>
      <c r="N141" s="100"/>
      <c r="O141" s="100"/>
      <c r="P141" s="100"/>
    </row>
    <row r="142" spans="2:16" ht="12.75">
      <c r="B142" s="117" t="s">
        <v>882</v>
      </c>
      <c r="C142" s="116" t="s">
        <v>8</v>
      </c>
      <c r="D142" s="109" t="s">
        <v>9</v>
      </c>
      <c r="E142" s="110" t="s">
        <v>360</v>
      </c>
      <c r="F142" s="110"/>
      <c r="G142" s="111"/>
      <c r="H142" s="103"/>
      <c r="I142" s="112">
        <v>0</v>
      </c>
      <c r="J142" s="112">
        <v>0</v>
      </c>
      <c r="K142" s="112"/>
      <c r="L142" s="112">
        <v>0</v>
      </c>
      <c r="M142" s="100"/>
      <c r="N142" s="100"/>
      <c r="O142" s="100"/>
      <c r="P142" s="100"/>
    </row>
    <row r="143" spans="2:16" ht="12.75">
      <c r="B143" s="117" t="s">
        <v>882</v>
      </c>
      <c r="C143" s="116" t="s">
        <v>10</v>
      </c>
      <c r="D143" s="109" t="s">
        <v>11</v>
      </c>
      <c r="E143" s="110" t="s">
        <v>360</v>
      </c>
      <c r="F143" s="110"/>
      <c r="G143" s="111"/>
      <c r="H143" s="103"/>
      <c r="I143" s="112">
        <v>0</v>
      </c>
      <c r="J143" s="112">
        <v>0</v>
      </c>
      <c r="K143" s="112"/>
      <c r="L143" s="112">
        <v>0</v>
      </c>
      <c r="M143" s="100"/>
      <c r="N143" s="100"/>
      <c r="O143" s="100"/>
      <c r="P143" s="100"/>
    </row>
    <row r="144" spans="2:16" ht="12.75">
      <c r="B144" s="117" t="s">
        <v>883</v>
      </c>
      <c r="C144" s="116" t="s">
        <v>12</v>
      </c>
      <c r="D144" s="109" t="s">
        <v>172</v>
      </c>
      <c r="E144" s="110" t="s">
        <v>360</v>
      </c>
      <c r="F144" s="110"/>
      <c r="G144" s="111"/>
      <c r="H144" s="103">
        <f>175289986+988010</f>
        <v>176277996</v>
      </c>
      <c r="I144" s="112">
        <v>0</v>
      </c>
      <c r="J144" s="112">
        <v>0</v>
      </c>
      <c r="K144" s="112"/>
      <c r="L144" s="112">
        <v>176277996</v>
      </c>
      <c r="M144" s="100"/>
      <c r="N144" s="100"/>
      <c r="O144" s="100"/>
      <c r="P144" s="100"/>
    </row>
    <row r="145" spans="2:16" ht="12.75">
      <c r="B145" s="117"/>
      <c r="C145" s="116" t="s">
        <v>13</v>
      </c>
      <c r="D145" s="109" t="s">
        <v>14</v>
      </c>
      <c r="E145" s="110" t="s">
        <v>360</v>
      </c>
      <c r="F145" s="110"/>
      <c r="G145" s="111"/>
      <c r="H145" s="103"/>
      <c r="I145" s="112">
        <v>0</v>
      </c>
      <c r="J145" s="112">
        <v>0</v>
      </c>
      <c r="K145" s="112"/>
      <c r="L145" s="112">
        <v>0</v>
      </c>
      <c r="M145" s="100"/>
      <c r="N145" s="100"/>
      <c r="O145" s="100"/>
      <c r="P145" s="100"/>
    </row>
    <row r="146" spans="2:16" ht="12.75">
      <c r="B146" s="117"/>
      <c r="C146" s="116" t="s">
        <v>15</v>
      </c>
      <c r="D146" s="109" t="s">
        <v>16</v>
      </c>
      <c r="E146" s="110" t="s">
        <v>360</v>
      </c>
      <c r="F146" s="110"/>
      <c r="G146" s="111"/>
      <c r="H146" s="103"/>
      <c r="I146" s="112">
        <v>1022110000</v>
      </c>
      <c r="J146" s="112">
        <v>1022110000</v>
      </c>
      <c r="K146" s="112"/>
      <c r="L146" s="112">
        <v>0</v>
      </c>
      <c r="M146" s="100"/>
      <c r="N146" s="100"/>
      <c r="O146" s="100"/>
      <c r="P146" s="100"/>
    </row>
    <row r="147" spans="2:16" ht="12.75">
      <c r="B147" s="117"/>
      <c r="C147" s="116" t="s">
        <v>17</v>
      </c>
      <c r="D147" s="109" t="s">
        <v>18</v>
      </c>
      <c r="E147" s="110" t="s">
        <v>360</v>
      </c>
      <c r="F147" s="110"/>
      <c r="G147" s="111"/>
      <c r="H147" s="103"/>
      <c r="I147" s="112">
        <v>0</v>
      </c>
      <c r="J147" s="112">
        <v>0</v>
      </c>
      <c r="K147" s="112"/>
      <c r="L147" s="112">
        <v>0</v>
      </c>
      <c r="M147" s="100"/>
      <c r="N147" s="100"/>
      <c r="O147" s="100"/>
      <c r="P147" s="100"/>
    </row>
    <row r="148" spans="2:16" s="102" customFormat="1" ht="12.75">
      <c r="B148" s="117"/>
      <c r="C148" s="116" t="s">
        <v>19</v>
      </c>
      <c r="D148" s="109" t="s">
        <v>14</v>
      </c>
      <c r="E148" s="110" t="s">
        <v>360</v>
      </c>
      <c r="F148" s="110"/>
      <c r="G148" s="111"/>
      <c r="H148" s="103"/>
      <c r="I148" s="112">
        <v>0</v>
      </c>
      <c r="J148" s="112">
        <v>0</v>
      </c>
      <c r="K148" s="112"/>
      <c r="L148" s="112">
        <v>0</v>
      </c>
      <c r="M148" s="100"/>
      <c r="N148" s="100"/>
      <c r="O148" s="100"/>
      <c r="P148" s="100"/>
    </row>
    <row r="149" spans="2:16" s="102" customFormat="1" ht="12.75">
      <c r="B149" s="117"/>
      <c r="C149" s="116" t="s">
        <v>20</v>
      </c>
      <c r="D149" s="109" t="s">
        <v>16</v>
      </c>
      <c r="E149" s="110" t="s">
        <v>360</v>
      </c>
      <c r="F149" s="110"/>
      <c r="G149" s="111"/>
      <c r="H149" s="103"/>
      <c r="I149" s="112">
        <v>0</v>
      </c>
      <c r="J149" s="112">
        <v>0</v>
      </c>
      <c r="K149" s="112"/>
      <c r="L149" s="112">
        <v>0</v>
      </c>
      <c r="M149" s="100"/>
      <c r="N149" s="100"/>
      <c r="O149" s="100"/>
      <c r="P149" s="100"/>
    </row>
    <row r="150" spans="2:16" s="102" customFormat="1" ht="12.75">
      <c r="B150" s="117"/>
      <c r="C150" s="116" t="s">
        <v>21</v>
      </c>
      <c r="D150" s="109" t="s">
        <v>18</v>
      </c>
      <c r="E150" s="110" t="s">
        <v>360</v>
      </c>
      <c r="F150" s="110"/>
      <c r="G150" s="111"/>
      <c r="H150" s="103"/>
      <c r="I150" s="112">
        <v>0</v>
      </c>
      <c r="J150" s="112">
        <v>0</v>
      </c>
      <c r="K150" s="112"/>
      <c r="L150" s="112">
        <v>0</v>
      </c>
      <c r="M150" s="100"/>
      <c r="N150" s="100"/>
      <c r="O150" s="100"/>
      <c r="P150" s="100"/>
    </row>
    <row r="151" spans="2:16" s="101" customFormat="1" ht="12.75">
      <c r="B151" s="117"/>
      <c r="C151" s="116" t="s">
        <v>22</v>
      </c>
      <c r="D151" s="109" t="s">
        <v>752</v>
      </c>
      <c r="E151" s="110" t="s">
        <v>360</v>
      </c>
      <c r="F151" s="110"/>
      <c r="G151" s="111"/>
      <c r="H151" s="103"/>
      <c r="I151" s="112">
        <v>750000</v>
      </c>
      <c r="J151" s="112">
        <v>750000</v>
      </c>
      <c r="K151" s="112"/>
      <c r="L151" s="112">
        <v>0</v>
      </c>
      <c r="M151" s="100"/>
      <c r="N151" s="100"/>
      <c r="O151" s="100"/>
      <c r="P151" s="100"/>
    </row>
    <row r="152" spans="2:16" s="101" customFormat="1" ht="12.75">
      <c r="B152" s="117"/>
      <c r="C152" s="116" t="s">
        <v>23</v>
      </c>
      <c r="D152" s="109" t="s">
        <v>753</v>
      </c>
      <c r="E152" s="110" t="s">
        <v>360</v>
      </c>
      <c r="F152" s="110"/>
      <c r="G152" s="111"/>
      <c r="H152" s="103"/>
      <c r="I152" s="112">
        <v>600000</v>
      </c>
      <c r="J152" s="112">
        <v>600000</v>
      </c>
      <c r="K152" s="112"/>
      <c r="L152" s="112">
        <v>0</v>
      </c>
      <c r="M152" s="100"/>
      <c r="N152" s="100"/>
      <c r="O152" s="100"/>
      <c r="P152" s="100"/>
    </row>
    <row r="153" spans="2:16" ht="12.75">
      <c r="B153" s="117"/>
      <c r="C153" s="116" t="s">
        <v>754</v>
      </c>
      <c r="D153" s="109" t="s">
        <v>24</v>
      </c>
      <c r="E153" s="110" t="s">
        <v>345</v>
      </c>
      <c r="F153" s="110"/>
      <c r="G153" s="111"/>
      <c r="H153" s="103"/>
      <c r="I153" s="112">
        <v>0</v>
      </c>
      <c r="J153" s="112">
        <v>0</v>
      </c>
      <c r="K153" s="112"/>
      <c r="L153" s="112">
        <v>0</v>
      </c>
      <c r="M153" s="100"/>
      <c r="N153" s="100"/>
      <c r="O153" s="100"/>
      <c r="P153" s="100"/>
    </row>
    <row r="154" spans="2:16" ht="12.75">
      <c r="B154" s="117"/>
      <c r="C154" s="116" t="s">
        <v>755</v>
      </c>
      <c r="D154" s="109" t="s">
        <v>25</v>
      </c>
      <c r="E154" s="110" t="s">
        <v>345</v>
      </c>
      <c r="F154" s="110"/>
      <c r="G154" s="111"/>
      <c r="H154" s="103"/>
      <c r="I154" s="112">
        <v>5655000</v>
      </c>
      <c r="J154" s="112">
        <v>5655000</v>
      </c>
      <c r="K154" s="112"/>
      <c r="L154" s="112">
        <v>0</v>
      </c>
      <c r="M154" s="100"/>
      <c r="N154" s="100"/>
      <c r="O154" s="100"/>
      <c r="P154" s="100"/>
    </row>
    <row r="155" spans="2:16" ht="12.75">
      <c r="B155" s="117"/>
      <c r="C155" s="116" t="s">
        <v>756</v>
      </c>
      <c r="D155" s="109" t="s">
        <v>813</v>
      </c>
      <c r="E155" s="110" t="s">
        <v>345</v>
      </c>
      <c r="F155" s="110"/>
      <c r="G155" s="111"/>
      <c r="H155" s="103"/>
      <c r="I155" s="112">
        <v>0</v>
      </c>
      <c r="J155" s="112">
        <v>0</v>
      </c>
      <c r="K155" s="112"/>
      <c r="L155" s="112">
        <v>0</v>
      </c>
      <c r="M155" s="100"/>
      <c r="N155" s="100"/>
      <c r="O155" s="100"/>
      <c r="P155" s="100"/>
    </row>
    <row r="156" spans="2:16" ht="12.75">
      <c r="B156" s="117"/>
      <c r="C156" s="116" t="s">
        <v>26</v>
      </c>
      <c r="D156" s="109" t="s">
        <v>801</v>
      </c>
      <c r="E156" s="110" t="s">
        <v>345</v>
      </c>
      <c r="F156" s="110"/>
      <c r="G156" s="111"/>
      <c r="H156" s="103"/>
      <c r="I156" s="112">
        <v>544408500</v>
      </c>
      <c r="J156" s="112">
        <v>544408500</v>
      </c>
      <c r="K156" s="112"/>
      <c r="L156" s="112">
        <v>0</v>
      </c>
      <c r="M156" s="100"/>
      <c r="N156" s="100"/>
      <c r="O156" s="100"/>
      <c r="P156" s="100"/>
    </row>
    <row r="157" spans="2:16" ht="12.75">
      <c r="B157" s="117"/>
      <c r="C157" s="116" t="s">
        <v>27</v>
      </c>
      <c r="D157" s="109" t="s">
        <v>803</v>
      </c>
      <c r="E157" s="110" t="s">
        <v>345</v>
      </c>
      <c r="F157" s="110"/>
      <c r="G157" s="111"/>
      <c r="H157" s="103"/>
      <c r="I157" s="112">
        <v>567710500</v>
      </c>
      <c r="J157" s="112">
        <v>567710500</v>
      </c>
      <c r="K157" s="112"/>
      <c r="L157" s="112">
        <v>0</v>
      </c>
      <c r="M157" s="100"/>
      <c r="N157" s="100"/>
      <c r="O157" s="100"/>
      <c r="P157" s="100"/>
    </row>
    <row r="158" spans="2:16" s="102" customFormat="1" ht="12.75">
      <c r="B158" s="117"/>
      <c r="C158" s="116" t="s">
        <v>28</v>
      </c>
      <c r="D158" s="109" t="s">
        <v>805</v>
      </c>
      <c r="E158" s="110" t="s">
        <v>345</v>
      </c>
      <c r="F158" s="110"/>
      <c r="G158" s="111"/>
      <c r="H158" s="103"/>
      <c r="I158" s="112">
        <v>0</v>
      </c>
      <c r="J158" s="112">
        <v>0</v>
      </c>
      <c r="K158" s="112"/>
      <c r="L158" s="112">
        <v>0</v>
      </c>
      <c r="M158" s="100"/>
      <c r="N158" s="100"/>
      <c r="O158" s="100"/>
      <c r="P158" s="100"/>
    </row>
    <row r="159" spans="2:16" ht="12.75">
      <c r="B159" s="117"/>
      <c r="C159" s="116" t="s">
        <v>29</v>
      </c>
      <c r="D159" s="109" t="s">
        <v>806</v>
      </c>
      <c r="E159" s="110" t="s">
        <v>345</v>
      </c>
      <c r="F159" s="110"/>
      <c r="G159" s="111"/>
      <c r="H159" s="103"/>
      <c r="I159" s="112">
        <v>56570100</v>
      </c>
      <c r="J159" s="112">
        <v>56570100</v>
      </c>
      <c r="K159" s="112"/>
      <c r="L159" s="112">
        <v>0</v>
      </c>
      <c r="M159" s="100"/>
      <c r="N159" s="100"/>
      <c r="O159" s="100"/>
      <c r="P159" s="100"/>
    </row>
    <row r="160" spans="2:16" ht="12.75">
      <c r="B160" s="117"/>
      <c r="C160" s="116" t="s">
        <v>30</v>
      </c>
      <c r="D160" s="109" t="s">
        <v>802</v>
      </c>
      <c r="E160" s="110" t="s">
        <v>345</v>
      </c>
      <c r="F160" s="110"/>
      <c r="G160" s="111"/>
      <c r="H160" s="103"/>
      <c r="I160" s="112">
        <v>68070166.66666666</v>
      </c>
      <c r="J160" s="112">
        <v>68070166.66666666</v>
      </c>
      <c r="K160" s="112"/>
      <c r="L160" s="112">
        <v>0</v>
      </c>
      <c r="M160" s="100"/>
      <c r="N160" s="100"/>
      <c r="O160" s="100"/>
      <c r="P160" s="100"/>
    </row>
    <row r="161" spans="2:16" ht="12.75">
      <c r="B161" s="117"/>
      <c r="C161" s="116" t="s">
        <v>31</v>
      </c>
      <c r="D161" s="109" t="s">
        <v>804</v>
      </c>
      <c r="E161" s="110" t="s">
        <v>345</v>
      </c>
      <c r="F161" s="110"/>
      <c r="G161" s="111"/>
      <c r="H161" s="103"/>
      <c r="I161" s="112">
        <v>90562444.44444445</v>
      </c>
      <c r="J161" s="112">
        <v>90562444.44444445</v>
      </c>
      <c r="K161" s="112"/>
      <c r="L161" s="112">
        <v>0</v>
      </c>
      <c r="M161" s="100"/>
      <c r="N161" s="100"/>
      <c r="O161" s="100"/>
      <c r="P161" s="100"/>
    </row>
    <row r="162" spans="2:16" ht="12.75">
      <c r="B162" s="117"/>
      <c r="C162" s="116" t="s">
        <v>32</v>
      </c>
      <c r="D162" s="109" t="s">
        <v>808</v>
      </c>
      <c r="E162" s="110" t="s">
        <v>345</v>
      </c>
      <c r="F162" s="110"/>
      <c r="G162" s="111"/>
      <c r="H162" s="103"/>
      <c r="I162" s="112">
        <v>0</v>
      </c>
      <c r="J162" s="112">
        <v>0</v>
      </c>
      <c r="K162" s="112"/>
      <c r="L162" s="112">
        <v>0</v>
      </c>
      <c r="M162" s="100"/>
      <c r="N162" s="100"/>
      <c r="O162" s="100"/>
      <c r="P162" s="100"/>
    </row>
    <row r="163" spans="2:16" ht="12.75">
      <c r="B163" s="117"/>
      <c r="C163" s="116" t="s">
        <v>33</v>
      </c>
      <c r="D163" s="109" t="s">
        <v>807</v>
      </c>
      <c r="E163" s="110" t="s">
        <v>345</v>
      </c>
      <c r="F163" s="110"/>
      <c r="G163" s="111"/>
      <c r="H163" s="103"/>
      <c r="I163" s="112">
        <v>32871166.666666664</v>
      </c>
      <c r="J163" s="112">
        <v>32871166.666666664</v>
      </c>
      <c r="K163" s="112"/>
      <c r="L163" s="112">
        <v>0</v>
      </c>
      <c r="M163" s="100"/>
      <c r="N163" s="100"/>
      <c r="O163" s="100"/>
      <c r="P163" s="100"/>
    </row>
    <row r="164" spans="2:16" ht="12.75">
      <c r="B164" s="117"/>
      <c r="C164" s="116" t="s">
        <v>34</v>
      </c>
      <c r="D164" s="109" t="s">
        <v>35</v>
      </c>
      <c r="E164" s="110" t="s">
        <v>345</v>
      </c>
      <c r="F164" s="110"/>
      <c r="G164" s="111"/>
      <c r="H164" s="103"/>
      <c r="I164" s="112">
        <v>25678000</v>
      </c>
      <c r="J164" s="112">
        <v>25678000</v>
      </c>
      <c r="K164" s="112"/>
      <c r="L164" s="112">
        <v>0</v>
      </c>
      <c r="M164" s="100"/>
      <c r="N164" s="100"/>
      <c r="O164" s="100"/>
      <c r="P164" s="100"/>
    </row>
    <row r="165" spans="2:16" ht="12.75">
      <c r="B165" s="117"/>
      <c r="C165" s="116" t="s">
        <v>36</v>
      </c>
      <c r="D165" s="109" t="s">
        <v>37</v>
      </c>
      <c r="E165" s="110" t="s">
        <v>345</v>
      </c>
      <c r="F165" s="110"/>
      <c r="G165" s="111"/>
      <c r="H165" s="103"/>
      <c r="I165" s="112">
        <v>24407500</v>
      </c>
      <c r="J165" s="112">
        <v>24407500</v>
      </c>
      <c r="K165" s="112"/>
      <c r="L165" s="112">
        <v>0</v>
      </c>
      <c r="M165" s="100"/>
      <c r="N165" s="100"/>
      <c r="O165" s="100"/>
      <c r="P165" s="100"/>
    </row>
    <row r="166" spans="2:16" ht="12.75">
      <c r="B166" s="117"/>
      <c r="C166" s="116" t="s">
        <v>38</v>
      </c>
      <c r="D166" s="109" t="s">
        <v>39</v>
      </c>
      <c r="E166" s="110" t="s">
        <v>345</v>
      </c>
      <c r="F166" s="110"/>
      <c r="G166" s="111"/>
      <c r="H166" s="103"/>
      <c r="I166" s="112">
        <v>32372114</v>
      </c>
      <c r="J166" s="112">
        <v>32372114</v>
      </c>
      <c r="K166" s="112"/>
      <c r="L166" s="112">
        <v>0</v>
      </c>
      <c r="M166" s="100"/>
      <c r="N166" s="100"/>
      <c r="O166" s="100"/>
      <c r="P166" s="100"/>
    </row>
    <row r="167" spans="2:16" ht="12.75">
      <c r="B167" s="117"/>
      <c r="C167" s="116" t="s">
        <v>40</v>
      </c>
      <c r="D167" s="109" t="s">
        <v>41</v>
      </c>
      <c r="E167" s="110" t="s">
        <v>345</v>
      </c>
      <c r="F167" s="110"/>
      <c r="G167" s="111"/>
      <c r="H167" s="103"/>
      <c r="I167" s="112">
        <v>56231869</v>
      </c>
      <c r="J167" s="112">
        <v>56231869</v>
      </c>
      <c r="K167" s="112"/>
      <c r="L167" s="112">
        <v>0</v>
      </c>
      <c r="M167" s="100"/>
      <c r="N167" s="100"/>
      <c r="O167" s="100"/>
      <c r="P167" s="100"/>
    </row>
    <row r="168" spans="2:16" ht="12.75">
      <c r="B168" s="117"/>
      <c r="C168" s="116" t="s">
        <v>42</v>
      </c>
      <c r="D168" s="109" t="s">
        <v>43</v>
      </c>
      <c r="E168" s="110" t="s">
        <v>345</v>
      </c>
      <c r="F168" s="110"/>
      <c r="G168" s="111"/>
      <c r="H168" s="103"/>
      <c r="I168" s="112">
        <v>2500000</v>
      </c>
      <c r="J168" s="112">
        <v>2500000</v>
      </c>
      <c r="K168" s="112"/>
      <c r="L168" s="112">
        <v>0</v>
      </c>
      <c r="M168" s="100"/>
      <c r="N168" s="100"/>
      <c r="O168" s="100"/>
      <c r="P168" s="100"/>
    </row>
    <row r="169" spans="2:16" ht="12.75">
      <c r="B169" s="117"/>
      <c r="C169" s="116" t="s">
        <v>44</v>
      </c>
      <c r="D169" s="109" t="s">
        <v>45</v>
      </c>
      <c r="E169" s="110" t="s">
        <v>345</v>
      </c>
      <c r="F169" s="110"/>
      <c r="G169" s="111"/>
      <c r="H169" s="103"/>
      <c r="I169" s="112">
        <v>2082500</v>
      </c>
      <c r="J169" s="112">
        <v>2082500</v>
      </c>
      <c r="K169" s="112"/>
      <c r="L169" s="112">
        <v>0</v>
      </c>
      <c r="M169" s="100"/>
      <c r="N169" s="100"/>
      <c r="O169" s="100"/>
      <c r="P169" s="100"/>
    </row>
    <row r="170" spans="2:16" ht="12.75">
      <c r="B170" s="117"/>
      <c r="C170" s="116" t="s">
        <v>46</v>
      </c>
      <c r="D170" s="109" t="s">
        <v>47</v>
      </c>
      <c r="E170" s="110" t="s">
        <v>345</v>
      </c>
      <c r="F170" s="110"/>
      <c r="G170" s="111"/>
      <c r="H170" s="103"/>
      <c r="I170" s="112">
        <v>20390053.666666668</v>
      </c>
      <c r="J170" s="112">
        <v>20390053.666666668</v>
      </c>
      <c r="K170" s="112"/>
      <c r="L170" s="112">
        <v>0</v>
      </c>
      <c r="M170" s="100"/>
      <c r="N170" s="100"/>
      <c r="O170" s="100"/>
      <c r="P170" s="100"/>
    </row>
    <row r="171" spans="2:16" ht="12.75">
      <c r="B171" s="117"/>
      <c r="C171" s="116" t="s">
        <v>48</v>
      </c>
      <c r="D171" s="109" t="s">
        <v>49</v>
      </c>
      <c r="E171" s="110" t="s">
        <v>345</v>
      </c>
      <c r="F171" s="110"/>
      <c r="G171" s="111"/>
      <c r="H171" s="103"/>
      <c r="I171" s="112">
        <v>11500000</v>
      </c>
      <c r="J171" s="112">
        <v>11500000</v>
      </c>
      <c r="K171" s="112"/>
      <c r="L171" s="112">
        <v>0</v>
      </c>
      <c r="M171" s="100"/>
      <c r="N171" s="100"/>
      <c r="O171" s="100"/>
      <c r="P171" s="100"/>
    </row>
    <row r="172" spans="2:16" ht="12.75">
      <c r="B172" s="117"/>
      <c r="C172" s="116" t="s">
        <v>50</v>
      </c>
      <c r="D172" s="109" t="s">
        <v>51</v>
      </c>
      <c r="E172" s="110" t="s">
        <v>345</v>
      </c>
      <c r="F172" s="110"/>
      <c r="G172" s="111"/>
      <c r="H172" s="103"/>
      <c r="I172" s="112">
        <v>142697351.75</v>
      </c>
      <c r="J172" s="112">
        <v>142697351.75</v>
      </c>
      <c r="K172" s="112"/>
      <c r="L172" s="112">
        <v>0</v>
      </c>
      <c r="M172" s="100"/>
      <c r="N172" s="100"/>
      <c r="O172" s="100"/>
      <c r="P172" s="100"/>
    </row>
    <row r="173" spans="2:16" ht="12.75">
      <c r="B173" s="117"/>
      <c r="C173" s="116" t="s">
        <v>52</v>
      </c>
      <c r="D173" s="109" t="s">
        <v>53</v>
      </c>
      <c r="E173" s="110" t="s">
        <v>345</v>
      </c>
      <c r="F173" s="110"/>
      <c r="G173" s="111"/>
      <c r="H173" s="103"/>
      <c r="I173" s="112">
        <v>5000000</v>
      </c>
      <c r="J173" s="112">
        <v>5000000</v>
      </c>
      <c r="K173" s="112"/>
      <c r="L173" s="112">
        <v>0</v>
      </c>
      <c r="M173" s="100"/>
      <c r="N173" s="100"/>
      <c r="O173" s="100"/>
      <c r="P173" s="100"/>
    </row>
    <row r="174" spans="2:16" ht="12.75">
      <c r="B174" s="117"/>
      <c r="C174" s="116" t="s">
        <v>54</v>
      </c>
      <c r="D174" s="109" t="s">
        <v>55</v>
      </c>
      <c r="E174" s="110" t="s">
        <v>345</v>
      </c>
      <c r="F174" s="110"/>
      <c r="G174" s="111"/>
      <c r="H174" s="103"/>
      <c r="I174" s="112">
        <v>0</v>
      </c>
      <c r="J174" s="112">
        <v>0</v>
      </c>
      <c r="K174" s="112"/>
      <c r="L174" s="112">
        <v>0</v>
      </c>
      <c r="M174" s="100"/>
      <c r="N174" s="100"/>
      <c r="O174" s="100"/>
      <c r="P174" s="100"/>
    </row>
    <row r="175" spans="2:16" ht="12.75">
      <c r="B175" s="117"/>
      <c r="C175" s="116" t="s">
        <v>56</v>
      </c>
      <c r="D175" s="109" t="s">
        <v>57</v>
      </c>
      <c r="E175" s="110" t="s">
        <v>345</v>
      </c>
      <c r="F175" s="110"/>
      <c r="G175" s="111"/>
      <c r="H175" s="103"/>
      <c r="I175" s="112">
        <v>0</v>
      </c>
      <c r="J175" s="112">
        <v>0</v>
      </c>
      <c r="K175" s="112"/>
      <c r="L175" s="112">
        <v>0</v>
      </c>
      <c r="M175" s="100"/>
      <c r="N175" s="100"/>
      <c r="O175" s="100"/>
      <c r="P175" s="100"/>
    </row>
    <row r="176" spans="2:16" s="101" customFormat="1" ht="12.75">
      <c r="B176" s="117"/>
      <c r="C176" s="119" t="s">
        <v>58</v>
      </c>
      <c r="D176" s="109" t="s">
        <v>59</v>
      </c>
      <c r="E176" s="110" t="s">
        <v>345</v>
      </c>
      <c r="F176" s="110"/>
      <c r="G176" s="111"/>
      <c r="H176" s="103"/>
      <c r="I176" s="112">
        <v>223637519.4166667</v>
      </c>
      <c r="J176" s="112">
        <v>223637519.4166667</v>
      </c>
      <c r="K176" s="112"/>
      <c r="L176" s="112">
        <v>0</v>
      </c>
      <c r="M176" s="100"/>
      <c r="N176" s="100"/>
      <c r="O176" s="100"/>
      <c r="P176" s="100"/>
    </row>
    <row r="177" spans="2:16" s="101" customFormat="1" ht="12.75">
      <c r="B177" s="117"/>
      <c r="C177" s="119" t="s">
        <v>60</v>
      </c>
      <c r="D177" s="109" t="s">
        <v>61</v>
      </c>
      <c r="E177" s="110" t="s">
        <v>345</v>
      </c>
      <c r="F177" s="110"/>
      <c r="G177" s="111"/>
      <c r="H177" s="103"/>
      <c r="I177" s="112">
        <v>99221869</v>
      </c>
      <c r="J177" s="112">
        <v>99221869</v>
      </c>
      <c r="K177" s="112"/>
      <c r="L177" s="112">
        <v>0</v>
      </c>
      <c r="M177" s="100"/>
      <c r="N177" s="100"/>
      <c r="O177" s="100"/>
      <c r="P177" s="100"/>
    </row>
    <row r="178" spans="2:16" ht="12.75">
      <c r="B178" s="117"/>
      <c r="C178" s="116" t="s">
        <v>62</v>
      </c>
      <c r="D178" s="109" t="s">
        <v>63</v>
      </c>
      <c r="E178" s="110" t="s">
        <v>345</v>
      </c>
      <c r="F178" s="110"/>
      <c r="G178" s="111"/>
      <c r="H178" s="103"/>
      <c r="I178" s="112">
        <v>810857050</v>
      </c>
      <c r="J178" s="112">
        <v>810857050</v>
      </c>
      <c r="K178" s="112"/>
      <c r="L178" s="112">
        <v>0</v>
      </c>
      <c r="M178" s="100"/>
      <c r="N178" s="100"/>
      <c r="O178" s="100"/>
      <c r="P178" s="100"/>
    </row>
    <row r="179" spans="2:16" ht="12.75">
      <c r="B179" s="117"/>
      <c r="C179" s="116" t="s">
        <v>64</v>
      </c>
      <c r="D179" s="109" t="s">
        <v>65</v>
      </c>
      <c r="E179" s="110" t="s">
        <v>345</v>
      </c>
      <c r="F179" s="110"/>
      <c r="G179" s="111"/>
      <c r="H179" s="103"/>
      <c r="I179" s="112">
        <v>1400000</v>
      </c>
      <c r="J179" s="112">
        <v>1400000</v>
      </c>
      <c r="K179" s="112"/>
      <c r="L179" s="112">
        <v>0</v>
      </c>
      <c r="M179" s="100"/>
      <c r="N179" s="100"/>
      <c r="O179" s="100"/>
      <c r="P179" s="100"/>
    </row>
    <row r="180" spans="2:16" ht="12.75">
      <c r="B180" s="117"/>
      <c r="C180" s="116" t="s">
        <v>66</v>
      </c>
      <c r="D180" s="109" t="s">
        <v>67</v>
      </c>
      <c r="E180" s="110" t="s">
        <v>345</v>
      </c>
      <c r="F180" s="110"/>
      <c r="G180" s="111"/>
      <c r="H180" s="103"/>
      <c r="I180" s="112">
        <v>7000000</v>
      </c>
      <c r="J180" s="112">
        <v>7000000</v>
      </c>
      <c r="K180" s="112"/>
      <c r="L180" s="112">
        <v>0</v>
      </c>
      <c r="M180" s="100"/>
      <c r="N180" s="100"/>
      <c r="O180" s="100"/>
      <c r="P180" s="100"/>
    </row>
    <row r="181" spans="2:16" ht="12.75">
      <c r="B181" s="117"/>
      <c r="C181" s="116" t="s">
        <v>68</v>
      </c>
      <c r="D181" s="109" t="s">
        <v>69</v>
      </c>
      <c r="E181" s="110" t="s">
        <v>345</v>
      </c>
      <c r="F181" s="110"/>
      <c r="G181" s="111"/>
      <c r="H181" s="103"/>
      <c r="I181" s="112">
        <v>47578574.074074075</v>
      </c>
      <c r="J181" s="112">
        <v>47578574.074074075</v>
      </c>
      <c r="K181" s="112"/>
      <c r="L181" s="112">
        <v>0</v>
      </c>
      <c r="M181" s="100"/>
      <c r="N181" s="100"/>
      <c r="O181" s="100"/>
      <c r="P181" s="100"/>
    </row>
    <row r="182" spans="2:16" ht="12.75">
      <c r="B182" s="117"/>
      <c r="C182" s="116" t="s">
        <v>70</v>
      </c>
      <c r="D182" s="109" t="s">
        <v>71</v>
      </c>
      <c r="E182" s="110" t="s">
        <v>345</v>
      </c>
      <c r="F182" s="110"/>
      <c r="G182" s="111"/>
      <c r="H182" s="103"/>
      <c r="I182" s="112">
        <v>7029660</v>
      </c>
      <c r="J182" s="112">
        <v>7029660</v>
      </c>
      <c r="K182" s="112"/>
      <c r="L182" s="112">
        <v>0</v>
      </c>
      <c r="M182" s="100"/>
      <c r="N182" s="100"/>
      <c r="O182" s="100"/>
      <c r="P182" s="100"/>
    </row>
    <row r="183" spans="2:16" ht="12.75">
      <c r="B183" s="117"/>
      <c r="C183" s="116" t="s">
        <v>72</v>
      </c>
      <c r="D183" s="109" t="s">
        <v>73</v>
      </c>
      <c r="E183" s="110" t="s">
        <v>345</v>
      </c>
      <c r="F183" s="110"/>
      <c r="G183" s="111"/>
      <c r="H183" s="103"/>
      <c r="I183" s="112">
        <v>0</v>
      </c>
      <c r="J183" s="112">
        <v>0</v>
      </c>
      <c r="K183" s="112"/>
      <c r="L183" s="112">
        <v>0</v>
      </c>
      <c r="M183" s="100"/>
      <c r="N183" s="100"/>
      <c r="O183" s="100"/>
      <c r="P183" s="100"/>
    </row>
    <row r="184" spans="2:16" ht="12.75">
      <c r="B184" s="117"/>
      <c r="C184" s="116" t="s">
        <v>74</v>
      </c>
      <c r="D184" s="109" t="s">
        <v>75</v>
      </c>
      <c r="E184" s="110" t="s">
        <v>345</v>
      </c>
      <c r="F184" s="110"/>
      <c r="G184" s="111"/>
      <c r="H184" s="103"/>
      <c r="I184" s="112">
        <v>9395161</v>
      </c>
      <c r="J184" s="112">
        <v>9395161</v>
      </c>
      <c r="K184" s="112"/>
      <c r="L184" s="112">
        <v>0</v>
      </c>
      <c r="M184" s="100"/>
      <c r="N184" s="100"/>
      <c r="O184" s="100"/>
      <c r="P184" s="100"/>
    </row>
    <row r="185" spans="2:16" ht="12.75">
      <c r="B185" s="117"/>
      <c r="C185" s="116" t="s">
        <v>76</v>
      </c>
      <c r="D185" s="109" t="s">
        <v>77</v>
      </c>
      <c r="E185" s="110" t="s">
        <v>345</v>
      </c>
      <c r="F185" s="110"/>
      <c r="G185" s="111"/>
      <c r="H185" s="103"/>
      <c r="I185" s="112">
        <v>0</v>
      </c>
      <c r="J185" s="112">
        <v>0</v>
      </c>
      <c r="K185" s="112"/>
      <c r="L185" s="112">
        <v>0</v>
      </c>
      <c r="M185" s="100"/>
      <c r="N185" s="100"/>
      <c r="O185" s="100"/>
      <c r="P185" s="100"/>
    </row>
    <row r="186" spans="2:16" ht="12.75">
      <c r="B186" s="117"/>
      <c r="C186" s="116" t="s">
        <v>78</v>
      </c>
      <c r="D186" s="109" t="s">
        <v>79</v>
      </c>
      <c r="E186" s="110" t="s">
        <v>345</v>
      </c>
      <c r="F186" s="110"/>
      <c r="G186" s="111"/>
      <c r="H186" s="103"/>
      <c r="I186" s="112">
        <v>0</v>
      </c>
      <c r="J186" s="112">
        <v>0</v>
      </c>
      <c r="K186" s="112"/>
      <c r="L186" s="112">
        <v>0</v>
      </c>
      <c r="M186" s="100"/>
      <c r="N186" s="100"/>
      <c r="O186" s="100"/>
      <c r="P186" s="100"/>
    </row>
    <row r="187" spans="2:16" ht="12.75">
      <c r="B187" s="117"/>
      <c r="C187" s="116" t="s">
        <v>80</v>
      </c>
      <c r="D187" s="109" t="s">
        <v>81</v>
      </c>
      <c r="E187" s="110" t="s">
        <v>345</v>
      </c>
      <c r="F187" s="110"/>
      <c r="G187" s="111"/>
      <c r="H187" s="103"/>
      <c r="I187" s="112">
        <v>0</v>
      </c>
      <c r="J187" s="112">
        <v>0</v>
      </c>
      <c r="K187" s="112"/>
      <c r="L187" s="112">
        <v>0</v>
      </c>
      <c r="M187" s="100"/>
      <c r="N187" s="100"/>
      <c r="O187" s="100"/>
      <c r="P187" s="100"/>
    </row>
    <row r="188" spans="2:16" ht="12.75">
      <c r="B188" s="117"/>
      <c r="C188" s="116" t="s">
        <v>82</v>
      </c>
      <c r="D188" s="109" t="s">
        <v>83</v>
      </c>
      <c r="E188" s="110" t="s">
        <v>345</v>
      </c>
      <c r="F188" s="110"/>
      <c r="G188" s="111"/>
      <c r="H188" s="103"/>
      <c r="I188" s="112">
        <v>111510888.8888889</v>
      </c>
      <c r="J188" s="112">
        <v>111510888.8888889</v>
      </c>
      <c r="K188" s="112"/>
      <c r="L188" s="112">
        <v>0</v>
      </c>
      <c r="M188" s="100"/>
      <c r="N188" s="100"/>
      <c r="O188" s="100"/>
      <c r="P188" s="100"/>
    </row>
    <row r="189" spans="2:16" ht="12.75">
      <c r="B189" s="117"/>
      <c r="C189" s="116" t="s">
        <v>84</v>
      </c>
      <c r="D189" s="109" t="s">
        <v>85</v>
      </c>
      <c r="E189" s="110" t="s">
        <v>345</v>
      </c>
      <c r="F189" s="110"/>
      <c r="G189" s="111"/>
      <c r="H189" s="103"/>
      <c r="I189" s="112">
        <v>7596095</v>
      </c>
      <c r="J189" s="112">
        <v>7596095</v>
      </c>
      <c r="K189" s="112"/>
      <c r="L189" s="112">
        <v>0</v>
      </c>
      <c r="M189" s="100"/>
      <c r="N189" s="100"/>
      <c r="O189" s="100"/>
      <c r="P189" s="100"/>
    </row>
    <row r="190" spans="2:16" ht="12.75">
      <c r="B190" s="117"/>
      <c r="C190" s="116" t="s">
        <v>86</v>
      </c>
      <c r="D190" s="109" t="s">
        <v>87</v>
      </c>
      <c r="E190" s="110" t="s">
        <v>345</v>
      </c>
      <c r="F190" s="110"/>
      <c r="G190" s="111"/>
      <c r="H190" s="103"/>
      <c r="I190" s="112">
        <v>8012500</v>
      </c>
      <c r="J190" s="112">
        <v>8012500</v>
      </c>
      <c r="K190" s="112"/>
      <c r="L190" s="112">
        <v>0</v>
      </c>
      <c r="M190" s="100"/>
      <c r="N190" s="100"/>
      <c r="O190" s="100"/>
      <c r="P190" s="100"/>
    </row>
    <row r="191" spans="2:16" ht="12.75">
      <c r="B191" s="117"/>
      <c r="C191" s="116" t="s">
        <v>88</v>
      </c>
      <c r="D191" s="109" t="s">
        <v>89</v>
      </c>
      <c r="E191" s="110" t="s">
        <v>345</v>
      </c>
      <c r="F191" s="110"/>
      <c r="G191" s="111"/>
      <c r="H191" s="103"/>
      <c r="I191" s="112">
        <v>7868299.666666667</v>
      </c>
      <c r="J191" s="112">
        <v>7868299.666666667</v>
      </c>
      <c r="K191" s="112"/>
      <c r="L191" s="112">
        <v>0</v>
      </c>
      <c r="M191" s="100"/>
      <c r="N191" s="100"/>
      <c r="O191" s="100"/>
      <c r="P191" s="100"/>
    </row>
    <row r="192" spans="2:16" ht="12.75">
      <c r="B192" s="117"/>
      <c r="C192" s="116" t="s">
        <v>90</v>
      </c>
      <c r="D192" s="109" t="s">
        <v>91</v>
      </c>
      <c r="E192" s="110" t="s">
        <v>345</v>
      </c>
      <c r="F192" s="110"/>
      <c r="G192" s="111"/>
      <c r="H192" s="103"/>
      <c r="I192" s="112">
        <v>1500000</v>
      </c>
      <c r="J192" s="112">
        <v>1500000</v>
      </c>
      <c r="K192" s="112"/>
      <c r="L192" s="112">
        <v>0</v>
      </c>
      <c r="M192" s="100"/>
      <c r="N192" s="100"/>
      <c r="O192" s="100"/>
      <c r="P192" s="100"/>
    </row>
    <row r="193" spans="2:16" s="102" customFormat="1" ht="12.75">
      <c r="B193" s="117"/>
      <c r="C193" s="116" t="s">
        <v>92</v>
      </c>
      <c r="D193" s="109" t="s">
        <v>93</v>
      </c>
      <c r="E193" s="110" t="s">
        <v>345</v>
      </c>
      <c r="F193" s="110"/>
      <c r="G193" s="111"/>
      <c r="H193" s="103"/>
      <c r="I193" s="112">
        <v>5500000</v>
      </c>
      <c r="J193" s="112">
        <v>5500000</v>
      </c>
      <c r="K193" s="112"/>
      <c r="L193" s="112">
        <v>0</v>
      </c>
      <c r="M193" s="100"/>
      <c r="N193" s="100"/>
      <c r="O193" s="100"/>
      <c r="P193" s="100"/>
    </row>
    <row r="194" spans="2:16" ht="12.75">
      <c r="B194" s="117"/>
      <c r="C194" s="116" t="s">
        <v>94</v>
      </c>
      <c r="D194" s="109" t="s">
        <v>222</v>
      </c>
      <c r="E194" s="110" t="s">
        <v>345</v>
      </c>
      <c r="F194" s="110"/>
      <c r="G194" s="111"/>
      <c r="H194" s="103"/>
      <c r="I194" s="112">
        <v>53365783.916666664</v>
      </c>
      <c r="J194" s="112">
        <v>53365783.916666664</v>
      </c>
      <c r="K194" s="112"/>
      <c r="L194" s="112">
        <v>0</v>
      </c>
      <c r="M194" s="100"/>
      <c r="N194" s="100"/>
      <c r="O194" s="100"/>
      <c r="P194" s="100"/>
    </row>
    <row r="195" spans="2:16" ht="12.75">
      <c r="B195" s="117"/>
      <c r="C195" s="116" t="s">
        <v>96</v>
      </c>
      <c r="D195" s="109" t="s">
        <v>95</v>
      </c>
      <c r="E195" s="110" t="s">
        <v>345</v>
      </c>
      <c r="F195" s="110"/>
      <c r="G195" s="111"/>
      <c r="H195" s="103"/>
      <c r="I195" s="112">
        <v>11600000</v>
      </c>
      <c r="J195" s="112">
        <v>11600000</v>
      </c>
      <c r="K195" s="112"/>
      <c r="L195" s="112">
        <v>0</v>
      </c>
      <c r="M195" s="100"/>
      <c r="N195" s="100"/>
      <c r="O195" s="100"/>
      <c r="P195" s="100"/>
    </row>
    <row r="196" spans="2:16" s="101" customFormat="1" ht="12.75">
      <c r="B196" s="117"/>
      <c r="C196" s="116" t="s">
        <v>97</v>
      </c>
      <c r="D196" s="109" t="s">
        <v>98</v>
      </c>
      <c r="E196" s="110" t="s">
        <v>360</v>
      </c>
      <c r="F196" s="110"/>
      <c r="G196" s="111"/>
      <c r="H196" s="103"/>
      <c r="I196" s="112">
        <v>12000000</v>
      </c>
      <c r="J196" s="112">
        <v>12000000</v>
      </c>
      <c r="K196" s="112"/>
      <c r="L196" s="112">
        <v>0</v>
      </c>
      <c r="M196" s="100"/>
      <c r="N196" s="100"/>
      <c r="O196" s="100"/>
      <c r="P196" s="100"/>
    </row>
    <row r="197" spans="2:16" s="101" customFormat="1" ht="12.75">
      <c r="B197" s="117"/>
      <c r="C197" s="116" t="s">
        <v>99</v>
      </c>
      <c r="D197" s="109" t="s">
        <v>100</v>
      </c>
      <c r="E197" s="110" t="s">
        <v>360</v>
      </c>
      <c r="F197" s="110"/>
      <c r="G197" s="111"/>
      <c r="H197" s="103"/>
      <c r="I197" s="112">
        <v>1200000</v>
      </c>
      <c r="J197" s="112">
        <v>1200000</v>
      </c>
      <c r="K197" s="112"/>
      <c r="L197" s="112">
        <v>0</v>
      </c>
      <c r="M197" s="100"/>
      <c r="N197" s="100"/>
      <c r="O197" s="100"/>
      <c r="P197" s="100"/>
    </row>
    <row r="198" spans="2:16" ht="12.75">
      <c r="B198" s="117"/>
      <c r="C198" s="116" t="s">
        <v>101</v>
      </c>
      <c r="D198" s="109" t="s">
        <v>174</v>
      </c>
      <c r="E198" s="110" t="s">
        <v>345</v>
      </c>
      <c r="F198" s="110"/>
      <c r="G198" s="111"/>
      <c r="H198" s="103"/>
      <c r="I198" s="112">
        <v>29500000</v>
      </c>
      <c r="J198" s="112">
        <v>29500000</v>
      </c>
      <c r="K198" s="112"/>
      <c r="L198" s="112">
        <v>0</v>
      </c>
      <c r="M198" s="100"/>
      <c r="N198" s="100"/>
      <c r="O198" s="100"/>
      <c r="P198" s="100"/>
    </row>
    <row r="199" spans="2:16" ht="12.75">
      <c r="B199" s="117"/>
      <c r="C199" s="118" t="s">
        <v>482</v>
      </c>
      <c r="D199" s="109" t="s">
        <v>483</v>
      </c>
      <c r="E199" s="110" t="s">
        <v>345</v>
      </c>
      <c r="F199" s="110"/>
      <c r="G199" s="111"/>
      <c r="H199" s="103"/>
      <c r="I199" s="112">
        <v>0</v>
      </c>
      <c r="J199" s="112">
        <v>0</v>
      </c>
      <c r="K199" s="112"/>
      <c r="L199" s="112">
        <v>0</v>
      </c>
      <c r="M199" s="100"/>
      <c r="N199" s="100"/>
      <c r="O199" s="100"/>
      <c r="P199" s="100"/>
    </row>
    <row r="200" spans="2:16" ht="12.75">
      <c r="B200" s="117"/>
      <c r="C200" s="116" t="s">
        <v>102</v>
      </c>
      <c r="D200" s="109" t="s">
        <v>103</v>
      </c>
      <c r="E200" s="110" t="s">
        <v>360</v>
      </c>
      <c r="F200" s="110"/>
      <c r="G200" s="111"/>
      <c r="H200" s="103"/>
      <c r="I200" s="112">
        <v>1119714012.5462961</v>
      </c>
      <c r="J200" s="112">
        <v>1119714012.5462961</v>
      </c>
      <c r="K200" s="112"/>
      <c r="L200" s="112">
        <v>0</v>
      </c>
      <c r="M200" s="100"/>
      <c r="N200" s="100"/>
      <c r="O200" s="100"/>
      <c r="P200" s="100"/>
    </row>
    <row r="201" ht="12.75">
      <c r="K201" s="108"/>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N356"/>
  <sheetViews>
    <sheetView showGridLines="0" zoomScalePageLayoutView="0" workbookViewId="0" topLeftCell="A1">
      <selection activeCell="E19" sqref="E19"/>
    </sheetView>
  </sheetViews>
  <sheetFormatPr defaultColWidth="9.140625" defaultRowHeight="12.75"/>
  <cols>
    <col min="1" max="1" width="2.7109375" style="0" customWidth="1"/>
    <col min="2" max="2" width="9.00390625" style="0" customWidth="1"/>
    <col min="3" max="3" width="5.140625" style="0" bestFit="1" customWidth="1"/>
    <col min="4" max="4" width="6.28125" style="0" bestFit="1" customWidth="1"/>
    <col min="5" max="5" width="38.140625" style="0" customWidth="1"/>
    <col min="6" max="6" width="8.57421875" style="0" bestFit="1" customWidth="1"/>
    <col min="7" max="11" width="14.00390625" style="0" customWidth="1"/>
    <col min="12" max="12" width="8.28125" style="0" bestFit="1" customWidth="1"/>
  </cols>
  <sheetData>
    <row r="1" ht="18.75">
      <c r="A1" s="138" t="s">
        <v>1181</v>
      </c>
    </row>
    <row r="2" spans="2:13" ht="15.75">
      <c r="B2" s="34" t="s">
        <v>628</v>
      </c>
      <c r="C2" s="34"/>
      <c r="D2" s="34"/>
      <c r="E2" s="34"/>
      <c r="F2" s="34"/>
      <c r="G2" s="34"/>
      <c r="H2" s="11"/>
      <c r="I2" s="35"/>
      <c r="J2" s="35"/>
      <c r="K2" s="35" t="s">
        <v>490</v>
      </c>
      <c r="L2" s="11"/>
      <c r="M2" s="11"/>
    </row>
    <row r="3" spans="2:13" ht="15.75">
      <c r="B3" s="34" t="s">
        <v>489</v>
      </c>
      <c r="C3" s="34"/>
      <c r="D3" s="34"/>
      <c r="E3" s="34"/>
      <c r="F3" s="34"/>
      <c r="G3" s="34"/>
      <c r="H3" s="11"/>
      <c r="I3" s="36"/>
      <c r="J3" s="36"/>
      <c r="K3" s="36" t="s">
        <v>825</v>
      </c>
      <c r="L3" s="11"/>
      <c r="M3" s="11"/>
    </row>
    <row r="4" spans="2:13" ht="15.75">
      <c r="B4" s="34" t="s">
        <v>888</v>
      </c>
      <c r="C4" s="34"/>
      <c r="D4" s="34"/>
      <c r="E4" s="34"/>
      <c r="F4" s="34"/>
      <c r="G4" s="34"/>
      <c r="H4" s="11"/>
      <c r="I4" s="36"/>
      <c r="J4" s="36"/>
      <c r="K4" s="36" t="s">
        <v>826</v>
      </c>
      <c r="L4" s="11"/>
      <c r="M4" s="11"/>
    </row>
    <row r="6" spans="2:13" s="2" customFormat="1" ht="20.25">
      <c r="B6" s="157" t="s">
        <v>113</v>
      </c>
      <c r="C6" s="157"/>
      <c r="D6" s="157"/>
      <c r="E6" s="157"/>
      <c r="F6" s="157"/>
      <c r="G6" s="157"/>
      <c r="H6" s="157"/>
      <c r="I6" s="157"/>
      <c r="J6" s="157"/>
      <c r="K6" s="157"/>
      <c r="L6" s="157"/>
      <c r="M6" s="157"/>
    </row>
    <row r="7" spans="6:7" s="2" customFormat="1" ht="12.75">
      <c r="F7" s="6" t="s">
        <v>114</v>
      </c>
      <c r="G7" s="7"/>
    </row>
    <row r="8" spans="2:13" s="5" customFormat="1" ht="12.75" customHeight="1">
      <c r="B8" s="158" t="s">
        <v>115</v>
      </c>
      <c r="C8" s="158" t="s">
        <v>116</v>
      </c>
      <c r="D8" s="158"/>
      <c r="E8" s="158" t="s">
        <v>108</v>
      </c>
      <c r="F8" s="160" t="s">
        <v>188</v>
      </c>
      <c r="G8" s="158" t="s">
        <v>143</v>
      </c>
      <c r="H8" s="158"/>
      <c r="I8" s="158"/>
      <c r="J8" s="158"/>
      <c r="K8" s="158"/>
      <c r="L8" s="158"/>
      <c r="M8" s="158"/>
    </row>
    <row r="9" spans="2:14" s="5" customFormat="1" ht="12.75">
      <c r="B9" s="158"/>
      <c r="C9" s="158"/>
      <c r="D9" s="158"/>
      <c r="E9" s="159"/>
      <c r="F9" s="161"/>
      <c r="G9" s="127" t="s">
        <v>144</v>
      </c>
      <c r="H9" s="128" t="s">
        <v>118</v>
      </c>
      <c r="I9" s="128" t="s">
        <v>145</v>
      </c>
      <c r="J9" s="128" t="s">
        <v>146</v>
      </c>
      <c r="K9" s="128" t="s">
        <v>117</v>
      </c>
      <c r="L9" s="158" t="s">
        <v>119</v>
      </c>
      <c r="M9" s="158"/>
      <c r="N9" s="49"/>
    </row>
    <row r="10" spans="2:14" s="5" customFormat="1" ht="12.75">
      <c r="B10" s="158"/>
      <c r="C10" s="128" t="s">
        <v>120</v>
      </c>
      <c r="D10" s="128" t="s">
        <v>121</v>
      </c>
      <c r="E10" s="159"/>
      <c r="F10" s="71">
        <f>G7</f>
        <v>0</v>
      </c>
      <c r="G10" s="127"/>
      <c r="H10" s="128"/>
      <c r="I10" s="128"/>
      <c r="J10" s="128"/>
      <c r="K10" s="128"/>
      <c r="L10" s="128" t="s">
        <v>122</v>
      </c>
      <c r="M10" s="128" t="s">
        <v>114</v>
      </c>
      <c r="N10" s="49"/>
    </row>
    <row r="11" spans="2:13" s="2" customFormat="1" ht="12.75">
      <c r="B11" s="4"/>
      <c r="C11" s="4"/>
      <c r="D11" s="4"/>
      <c r="E11" s="9" t="s">
        <v>123</v>
      </c>
      <c r="F11" s="39" t="s">
        <v>124</v>
      </c>
      <c r="G11" s="39" t="s">
        <v>125</v>
      </c>
      <c r="H11" s="39" t="s">
        <v>126</v>
      </c>
      <c r="I11" s="39" t="s">
        <v>127</v>
      </c>
      <c r="J11" s="39" t="s">
        <v>128</v>
      </c>
      <c r="K11" s="39" t="s">
        <v>129</v>
      </c>
      <c r="L11" s="39" t="s">
        <v>130</v>
      </c>
      <c r="M11" s="26"/>
    </row>
    <row r="12" spans="2:13" ht="12.75">
      <c r="B12" s="10">
        <v>1</v>
      </c>
      <c r="C12" s="10">
        <v>2</v>
      </c>
      <c r="D12" s="10">
        <v>3</v>
      </c>
      <c r="E12" s="10">
        <v>4</v>
      </c>
      <c r="F12" s="10">
        <v>5</v>
      </c>
      <c r="G12" s="10">
        <v>6</v>
      </c>
      <c r="H12" s="10">
        <v>7</v>
      </c>
      <c r="I12" s="10">
        <v>8</v>
      </c>
      <c r="J12" s="10">
        <v>9</v>
      </c>
      <c r="K12" s="10">
        <v>10</v>
      </c>
      <c r="L12" s="10">
        <v>11</v>
      </c>
      <c r="M12" s="10">
        <v>12</v>
      </c>
    </row>
    <row r="13" spans="2:13" ht="12.75">
      <c r="B13" s="51" t="s">
        <v>131</v>
      </c>
      <c r="C13" s="51" t="s">
        <v>132</v>
      </c>
      <c r="D13" s="51" t="s">
        <v>133</v>
      </c>
      <c r="E13" s="53" t="s">
        <v>134</v>
      </c>
      <c r="F13" s="54" t="s">
        <v>135</v>
      </c>
      <c r="G13" s="51" t="s">
        <v>136</v>
      </c>
      <c r="H13" s="51" t="s">
        <v>137</v>
      </c>
      <c r="I13" s="51" t="s">
        <v>138</v>
      </c>
      <c r="J13" s="51" t="s">
        <v>139</v>
      </c>
      <c r="K13" s="51" t="s">
        <v>140</v>
      </c>
      <c r="L13" s="51" t="s">
        <v>141</v>
      </c>
      <c r="M13" s="51" t="s">
        <v>142</v>
      </c>
    </row>
    <row r="14" spans="2:13" ht="12.75">
      <c r="B14" s="3"/>
      <c r="C14" s="3"/>
      <c r="D14" s="3"/>
      <c r="E14" s="3"/>
      <c r="F14" s="3"/>
      <c r="G14" s="3"/>
      <c r="H14" s="3"/>
      <c r="I14" s="3"/>
      <c r="J14" s="3"/>
      <c r="K14" s="3"/>
      <c r="L14" s="3"/>
      <c r="M14" s="3"/>
    </row>
    <row r="15" spans="2:13" ht="12.75">
      <c r="B15" s="3"/>
      <c r="C15" s="3"/>
      <c r="D15" s="3"/>
      <c r="E15" s="3"/>
      <c r="F15" s="3"/>
      <c r="G15" s="3"/>
      <c r="H15" s="3"/>
      <c r="I15" s="3"/>
      <c r="J15" s="3"/>
      <c r="K15" s="3"/>
      <c r="L15" s="3"/>
      <c r="M15" s="3"/>
    </row>
    <row r="16" spans="2:13" ht="12.75">
      <c r="B16" s="3"/>
      <c r="C16" s="3"/>
      <c r="D16" s="3"/>
      <c r="E16" s="3"/>
      <c r="F16" s="3"/>
      <c r="G16" s="3"/>
      <c r="H16" s="3"/>
      <c r="I16" s="3"/>
      <c r="J16" s="3"/>
      <c r="K16" s="3"/>
      <c r="L16" s="3"/>
      <c r="M16" s="3"/>
    </row>
    <row r="17" spans="2:13" ht="12.75">
      <c r="B17" s="3"/>
      <c r="C17" s="3"/>
      <c r="D17" s="3"/>
      <c r="E17" s="3"/>
      <c r="F17" s="3"/>
      <c r="G17" s="3"/>
      <c r="H17" s="3"/>
      <c r="I17" s="3"/>
      <c r="J17" s="3"/>
      <c r="K17" s="3"/>
      <c r="L17" s="3"/>
      <c r="M17" s="3"/>
    </row>
    <row r="18" spans="2:13" ht="12.75">
      <c r="B18" s="3"/>
      <c r="C18" s="3"/>
      <c r="D18" s="3"/>
      <c r="E18" s="3"/>
      <c r="F18" s="3"/>
      <c r="G18" s="3"/>
      <c r="H18" s="3"/>
      <c r="I18" s="3"/>
      <c r="J18" s="3"/>
      <c r="K18" s="3"/>
      <c r="L18" s="3"/>
      <c r="M18" s="3"/>
    </row>
    <row r="19" spans="2:13" ht="12.75">
      <c r="B19" s="3"/>
      <c r="C19" s="3"/>
      <c r="D19" s="3"/>
      <c r="E19" s="3"/>
      <c r="F19" s="3"/>
      <c r="G19" s="3"/>
      <c r="H19" s="3"/>
      <c r="I19" s="3"/>
      <c r="J19" s="3"/>
      <c r="K19" s="3"/>
      <c r="L19" s="3"/>
      <c r="M19" s="3"/>
    </row>
    <row r="351" spans="2:12" ht="15.75">
      <c r="B351" s="34"/>
      <c r="C351" s="38" t="s">
        <v>491</v>
      </c>
      <c r="D351" s="34"/>
      <c r="E351" s="34"/>
      <c r="F351" s="34"/>
      <c r="G351" s="34"/>
      <c r="H351" s="34"/>
      <c r="I351" s="34"/>
      <c r="J351" s="34"/>
      <c r="K351" s="34"/>
      <c r="L351" s="34"/>
    </row>
    <row r="352" spans="2:12" ht="15.75">
      <c r="B352" s="34"/>
      <c r="C352" s="38" t="s">
        <v>492</v>
      </c>
      <c r="D352" s="34"/>
      <c r="E352" s="34"/>
      <c r="F352" s="34"/>
      <c r="G352" s="34"/>
      <c r="H352" s="34"/>
      <c r="I352" s="34"/>
      <c r="J352" s="34"/>
      <c r="K352" s="34"/>
      <c r="L352" s="34"/>
    </row>
    <row r="353" spans="2:12" ht="15.75">
      <c r="B353" s="34"/>
      <c r="C353" s="34"/>
      <c r="D353" s="34"/>
      <c r="E353" s="34"/>
      <c r="F353" s="34"/>
      <c r="G353" s="34"/>
      <c r="H353" s="162" t="s">
        <v>493</v>
      </c>
      <c r="I353" s="162"/>
      <c r="J353" s="162"/>
      <c r="K353" s="162"/>
      <c r="L353" s="162"/>
    </row>
    <row r="354" spans="2:12" ht="15.75">
      <c r="B354" s="162" t="s">
        <v>484</v>
      </c>
      <c r="C354" s="162"/>
      <c r="D354" s="162"/>
      <c r="E354" s="162" t="s">
        <v>485</v>
      </c>
      <c r="F354" s="162"/>
      <c r="G354" s="162"/>
      <c r="H354" s="162" t="s">
        <v>486</v>
      </c>
      <c r="I354" s="162"/>
      <c r="J354" s="162"/>
      <c r="K354" s="162"/>
      <c r="L354" s="162"/>
    </row>
    <row r="355" spans="2:12" ht="15.75">
      <c r="B355" s="162" t="s">
        <v>494</v>
      </c>
      <c r="C355" s="162"/>
      <c r="D355" s="162"/>
      <c r="E355" s="162" t="s">
        <v>487</v>
      </c>
      <c r="F355" s="162"/>
      <c r="G355" s="162"/>
      <c r="H355" s="162" t="s">
        <v>488</v>
      </c>
      <c r="I355" s="162"/>
      <c r="J355" s="162"/>
      <c r="K355" s="162"/>
      <c r="L355" s="162"/>
    </row>
    <row r="356" spans="2:12" ht="15.75">
      <c r="B356" s="34"/>
      <c r="C356" s="34"/>
      <c r="D356" s="34"/>
      <c r="E356" s="34"/>
      <c r="F356" s="34"/>
      <c r="G356" s="34"/>
      <c r="H356" s="34"/>
      <c r="I356" s="34"/>
      <c r="J356" s="34"/>
      <c r="K356" s="34"/>
      <c r="L356" s="34"/>
    </row>
  </sheetData>
  <sheetProtection/>
  <mergeCells count="14">
    <mergeCell ref="H353:L353"/>
    <mergeCell ref="B354:D354"/>
    <mergeCell ref="E354:G354"/>
    <mergeCell ref="H354:L354"/>
    <mergeCell ref="E355:G355"/>
    <mergeCell ref="H355:L355"/>
    <mergeCell ref="B355:D355"/>
    <mergeCell ref="B6:M6"/>
    <mergeCell ref="B8:B10"/>
    <mergeCell ref="C8:D9"/>
    <mergeCell ref="E8:E10"/>
    <mergeCell ref="G8:M8"/>
    <mergeCell ref="L9:M9"/>
    <mergeCell ref="F8:F9"/>
  </mergeCells>
  <printOptions/>
  <pageMargins left="0.75" right="0.75" top="1" bottom="1" header="0.5" footer="0.5"/>
  <pageSetup horizontalDpi="1200" verticalDpi="1200" orientation="landscape" r:id="rId1"/>
  <ignoredErrors>
    <ignoredError sqref="G9:K9" numberStoredAsText="1"/>
  </ignoredErrors>
</worksheet>
</file>

<file path=xl/worksheets/sheet6.xml><?xml version="1.0" encoding="utf-8"?>
<worksheet xmlns="http://schemas.openxmlformats.org/spreadsheetml/2006/main" xmlns:r="http://schemas.openxmlformats.org/officeDocument/2006/relationships">
  <sheetPr>
    <tabColor theme="0"/>
  </sheetPr>
  <dimension ref="A1:M17"/>
  <sheetViews>
    <sheetView showGridLines="0" zoomScalePageLayoutView="0" workbookViewId="0" topLeftCell="A1">
      <selection activeCell="G16" sqref="G16"/>
    </sheetView>
  </sheetViews>
  <sheetFormatPr defaultColWidth="9.140625" defaultRowHeight="12.75"/>
  <cols>
    <col min="1" max="1" width="3.7109375" style="12" customWidth="1"/>
    <col min="2" max="2" width="7.7109375" style="12" bestFit="1" customWidth="1"/>
    <col min="3" max="3" width="16.140625" style="12" bestFit="1" customWidth="1"/>
    <col min="4" max="4" width="7.57421875" style="12" bestFit="1" customWidth="1"/>
    <col min="5" max="5" width="11.140625" style="19" bestFit="1" customWidth="1"/>
    <col min="6" max="6" width="12.421875" style="19" bestFit="1" customWidth="1"/>
    <col min="7" max="7" width="11.140625" style="12" bestFit="1" customWidth="1"/>
    <col min="8" max="8" width="12.421875" style="12" bestFit="1" customWidth="1"/>
    <col min="9" max="9" width="11.140625" style="12" bestFit="1" customWidth="1"/>
    <col min="10" max="10" width="12.421875" style="12" bestFit="1" customWidth="1"/>
    <col min="11" max="11" width="11.140625" style="12" bestFit="1" customWidth="1"/>
    <col min="12" max="12" width="12.421875" style="12" bestFit="1" customWidth="1"/>
    <col min="13" max="13" width="9.57421875" style="12" bestFit="1" customWidth="1"/>
    <col min="14" max="16384" width="9.140625" style="12" customWidth="1"/>
  </cols>
  <sheetData>
    <row r="1" ht="18.75">
      <c r="A1" s="138" t="s">
        <v>1181</v>
      </c>
    </row>
    <row r="2" spans="2:13" ht="15.75">
      <c r="B2" s="34" t="s">
        <v>628</v>
      </c>
      <c r="C2" s="34"/>
      <c r="D2"/>
      <c r="E2" s="35"/>
      <c r="F2" s="35"/>
      <c r="G2" s="35"/>
      <c r="H2"/>
      <c r="I2"/>
      <c r="J2"/>
      <c r="K2" s="35" t="s">
        <v>500</v>
      </c>
      <c r="L2"/>
      <c r="M2"/>
    </row>
    <row r="3" spans="2:13" ht="15.75">
      <c r="B3" s="34" t="s">
        <v>489</v>
      </c>
      <c r="C3" s="34"/>
      <c r="D3"/>
      <c r="E3" s="36"/>
      <c r="F3" s="36"/>
      <c r="G3" s="36"/>
      <c r="H3"/>
      <c r="I3"/>
      <c r="J3"/>
      <c r="K3" s="36" t="s">
        <v>825</v>
      </c>
      <c r="L3"/>
      <c r="M3"/>
    </row>
    <row r="4" spans="2:13" ht="15.75">
      <c r="B4" s="34" t="s">
        <v>888</v>
      </c>
      <c r="C4" s="34"/>
      <c r="D4"/>
      <c r="E4" s="36"/>
      <c r="F4" s="36"/>
      <c r="G4" s="36"/>
      <c r="H4"/>
      <c r="I4"/>
      <c r="J4"/>
      <c r="K4" s="36" t="s">
        <v>826</v>
      </c>
      <c r="L4"/>
      <c r="M4"/>
    </row>
    <row r="6" spans="2:13" ht="20.25">
      <c r="B6" s="163" t="s">
        <v>501</v>
      </c>
      <c r="C6" s="163"/>
      <c r="D6" s="163"/>
      <c r="E6" s="163"/>
      <c r="F6" s="163"/>
      <c r="G6" s="163"/>
      <c r="H6" s="163"/>
      <c r="I6" s="163"/>
      <c r="J6" s="163"/>
      <c r="K6" s="163"/>
      <c r="L6" s="163"/>
      <c r="M6" s="163"/>
    </row>
    <row r="7" spans="2:13" s="15" customFormat="1" ht="16.5" thickBot="1">
      <c r="B7" s="164" t="s">
        <v>502</v>
      </c>
      <c r="C7" s="164"/>
      <c r="D7" s="164"/>
      <c r="E7" s="164"/>
      <c r="F7" s="164"/>
      <c r="G7" s="164"/>
      <c r="H7" s="164"/>
      <c r="I7" s="164"/>
      <c r="J7" s="164"/>
      <c r="K7" s="164"/>
      <c r="L7" s="164"/>
      <c r="M7" s="164"/>
    </row>
    <row r="8" spans="2:13" ht="12.75">
      <c r="B8" s="129" t="s">
        <v>150</v>
      </c>
      <c r="C8" s="165" t="s">
        <v>159</v>
      </c>
      <c r="D8" s="130" t="s">
        <v>151</v>
      </c>
      <c r="E8" s="131" t="s">
        <v>152</v>
      </c>
      <c r="F8" s="131"/>
      <c r="G8" s="131" t="s">
        <v>153</v>
      </c>
      <c r="H8" s="131"/>
      <c r="I8" s="131" t="s">
        <v>154</v>
      </c>
      <c r="J8" s="131"/>
      <c r="K8" s="131" t="s">
        <v>155</v>
      </c>
      <c r="L8" s="131"/>
      <c r="M8" s="132"/>
    </row>
    <row r="9" spans="2:13" ht="13.5" thickBot="1">
      <c r="B9" s="133" t="s">
        <v>160</v>
      </c>
      <c r="C9" s="166"/>
      <c r="D9" s="134" t="s">
        <v>161</v>
      </c>
      <c r="E9" s="135" t="s">
        <v>162</v>
      </c>
      <c r="F9" s="135" t="s">
        <v>163</v>
      </c>
      <c r="G9" s="135" t="s">
        <v>162</v>
      </c>
      <c r="H9" s="135" t="s">
        <v>163</v>
      </c>
      <c r="I9" s="135" t="s">
        <v>162</v>
      </c>
      <c r="J9" s="135" t="s">
        <v>163</v>
      </c>
      <c r="K9" s="135" t="s">
        <v>162</v>
      </c>
      <c r="L9" s="135" t="s">
        <v>163</v>
      </c>
      <c r="M9" s="136" t="s">
        <v>164</v>
      </c>
    </row>
    <row r="10" spans="2:13" ht="16.5" customHeight="1">
      <c r="B10" s="8"/>
      <c r="C10" s="14" t="s">
        <v>104</v>
      </c>
      <c r="D10" s="8"/>
      <c r="E10" s="27"/>
      <c r="F10" s="27" t="s">
        <v>133</v>
      </c>
      <c r="G10" s="27"/>
      <c r="H10" s="27" t="s">
        <v>134</v>
      </c>
      <c r="I10" s="27"/>
      <c r="J10" s="27" t="s">
        <v>135</v>
      </c>
      <c r="K10" s="27"/>
      <c r="L10" s="27" t="s">
        <v>136</v>
      </c>
      <c r="M10" s="27"/>
    </row>
    <row r="11" spans="2:13" ht="15.75">
      <c r="B11" s="30">
        <v>1</v>
      </c>
      <c r="C11" s="30">
        <v>2</v>
      </c>
      <c r="D11" s="30">
        <v>3</v>
      </c>
      <c r="E11" s="30">
        <v>4</v>
      </c>
      <c r="F11" s="30">
        <v>5</v>
      </c>
      <c r="G11" s="30">
        <v>6</v>
      </c>
      <c r="H11" s="30">
        <v>7</v>
      </c>
      <c r="I11" s="30">
        <v>8</v>
      </c>
      <c r="J11" s="30">
        <v>9</v>
      </c>
      <c r="K11" s="30">
        <v>10</v>
      </c>
      <c r="L11" s="30">
        <v>11</v>
      </c>
      <c r="M11" s="30">
        <v>12</v>
      </c>
    </row>
    <row r="12" spans="2:13" ht="15.75">
      <c r="B12" s="1"/>
      <c r="C12" s="28"/>
      <c r="D12" s="16"/>
      <c r="E12" s="31" t="s">
        <v>124</v>
      </c>
      <c r="F12" s="31" t="s">
        <v>125</v>
      </c>
      <c r="G12" s="31" t="s">
        <v>126</v>
      </c>
      <c r="H12" s="31" t="s">
        <v>127</v>
      </c>
      <c r="I12" s="31" t="s">
        <v>128</v>
      </c>
      <c r="J12" s="31" t="s">
        <v>129</v>
      </c>
      <c r="K12" s="31" t="s">
        <v>130</v>
      </c>
      <c r="L12" s="31" t="s">
        <v>131</v>
      </c>
      <c r="M12" s="31" t="s">
        <v>132</v>
      </c>
    </row>
    <row r="13" spans="2:13" ht="18" customHeight="1">
      <c r="B13" s="1"/>
      <c r="C13" s="13"/>
      <c r="D13" s="13"/>
      <c r="E13" s="17"/>
      <c r="F13" s="17"/>
      <c r="G13" s="17"/>
      <c r="H13" s="17"/>
      <c r="I13" s="17"/>
      <c r="J13" s="17"/>
      <c r="K13" s="17"/>
      <c r="L13" s="17"/>
      <c r="M13" s="18"/>
    </row>
    <row r="15" spans="2:13" ht="15.75">
      <c r="B15" s="37"/>
      <c r="C15" s="37"/>
      <c r="D15"/>
      <c r="E15"/>
      <c r="F15"/>
      <c r="G15"/>
      <c r="H15" s="162" t="s">
        <v>499</v>
      </c>
      <c r="I15" s="162"/>
      <c r="J15" s="162"/>
      <c r="K15" s="162"/>
      <c r="L15"/>
      <c r="M15"/>
    </row>
    <row r="16" spans="2:13" ht="15.75">
      <c r="B16"/>
      <c r="C16" s="36" t="s">
        <v>495</v>
      </c>
      <c r="D16"/>
      <c r="E16"/>
      <c r="F16"/>
      <c r="G16"/>
      <c r="H16" s="162" t="s">
        <v>486</v>
      </c>
      <c r="I16" s="162"/>
      <c r="J16" s="162"/>
      <c r="K16" s="162"/>
      <c r="L16"/>
      <c r="M16"/>
    </row>
    <row r="17" spans="2:13" ht="15.75">
      <c r="B17"/>
      <c r="C17" s="36" t="s">
        <v>487</v>
      </c>
      <c r="D17"/>
      <c r="E17"/>
      <c r="F17"/>
      <c r="G17"/>
      <c r="H17" s="162" t="s">
        <v>488</v>
      </c>
      <c r="I17" s="162"/>
      <c r="J17" s="162"/>
      <c r="K17" s="162"/>
      <c r="L17"/>
      <c r="M17"/>
    </row>
  </sheetData>
  <sheetProtection/>
  <mergeCells count="6">
    <mergeCell ref="B6:M6"/>
    <mergeCell ref="B7:M7"/>
    <mergeCell ref="C8:C9"/>
    <mergeCell ref="H15:K15"/>
    <mergeCell ref="H16:K16"/>
    <mergeCell ref="H17:K1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J21"/>
  <sheetViews>
    <sheetView showGridLines="0" showZeros="0" zoomScalePageLayoutView="0" workbookViewId="0" topLeftCell="A1">
      <selection activeCell="C10" sqref="C10:C12"/>
    </sheetView>
  </sheetViews>
  <sheetFormatPr defaultColWidth="9.140625" defaultRowHeight="12.75"/>
  <cols>
    <col min="1" max="1" width="2.8515625" style="0" customWidth="1"/>
    <col min="2" max="2" width="15.00390625" style="0" customWidth="1"/>
    <col min="3" max="3" width="26.57421875" style="0" bestFit="1" customWidth="1"/>
    <col min="4" max="4" width="13.57421875" style="0" customWidth="1"/>
    <col min="5" max="5" width="13.28125" style="0" customWidth="1"/>
    <col min="6" max="6" width="11.00390625" style="0" bestFit="1" customWidth="1"/>
    <col min="7" max="7" width="12.00390625" style="0" customWidth="1"/>
    <col min="8" max="8" width="15.421875" style="0" bestFit="1" customWidth="1"/>
    <col min="9" max="9" width="12.421875" style="0" customWidth="1"/>
  </cols>
  <sheetData>
    <row r="1" ht="18.75">
      <c r="A1" s="138" t="s">
        <v>1181</v>
      </c>
    </row>
    <row r="2" spans="2:10" ht="15.75">
      <c r="B2" s="34" t="s">
        <v>628</v>
      </c>
      <c r="C2" s="34"/>
      <c r="D2" s="34"/>
      <c r="E2" s="34"/>
      <c r="F2" s="34"/>
      <c r="G2" s="34"/>
      <c r="H2" s="35" t="s">
        <v>503</v>
      </c>
      <c r="I2" s="35"/>
      <c r="J2" s="35"/>
    </row>
    <row r="3" spans="2:10" ht="15.75">
      <c r="B3" s="34" t="s">
        <v>489</v>
      </c>
      <c r="C3" s="34"/>
      <c r="D3" s="34"/>
      <c r="E3" s="34"/>
      <c r="F3" s="34"/>
      <c r="G3" s="34"/>
      <c r="H3" s="36" t="s">
        <v>825</v>
      </c>
      <c r="I3" s="36"/>
      <c r="J3" s="36"/>
    </row>
    <row r="4" spans="2:10" ht="15.75">
      <c r="B4" s="34" t="s">
        <v>888</v>
      </c>
      <c r="C4" s="34"/>
      <c r="D4" s="34"/>
      <c r="E4" s="34"/>
      <c r="F4" s="34"/>
      <c r="G4" s="34"/>
      <c r="H4" s="36" t="s">
        <v>826</v>
      </c>
      <c r="I4" s="36"/>
      <c r="J4" s="36"/>
    </row>
    <row r="6" spans="2:9" s="2" customFormat="1" ht="20.25">
      <c r="B6" s="167" t="s">
        <v>175</v>
      </c>
      <c r="C6" s="167"/>
      <c r="D6" s="167"/>
      <c r="E6" s="167"/>
      <c r="F6" s="167"/>
      <c r="G6" s="167"/>
      <c r="H6" s="167"/>
      <c r="I6" s="167"/>
    </row>
    <row r="7" spans="2:9" s="2" customFormat="1" ht="14.25">
      <c r="B7" s="20"/>
      <c r="C7" s="20"/>
      <c r="D7" s="21" t="s">
        <v>827</v>
      </c>
      <c r="E7" s="20"/>
      <c r="F7" s="50"/>
      <c r="G7" s="20"/>
      <c r="H7" s="20"/>
      <c r="I7" s="20"/>
    </row>
    <row r="8" spans="2:9" s="2" customFormat="1" ht="14.25">
      <c r="B8" s="20"/>
      <c r="C8" s="20"/>
      <c r="D8" s="21" t="s">
        <v>176</v>
      </c>
      <c r="E8" s="20"/>
      <c r="F8" s="20"/>
      <c r="G8" s="20"/>
      <c r="H8" s="22" t="s">
        <v>124</v>
      </c>
      <c r="I8" s="20"/>
    </row>
    <row r="9" spans="2:9" s="2" customFormat="1" ht="14.25">
      <c r="B9" s="20"/>
      <c r="C9" s="20"/>
      <c r="D9" s="20"/>
      <c r="E9" s="20"/>
      <c r="F9" s="20"/>
      <c r="G9" s="20"/>
      <c r="I9" s="23" t="s">
        <v>177</v>
      </c>
    </row>
    <row r="10" spans="2:9" s="2" customFormat="1" ht="25.5" customHeight="1">
      <c r="B10" s="168" t="s">
        <v>178</v>
      </c>
      <c r="C10" s="168" t="s">
        <v>179</v>
      </c>
      <c r="D10" s="168" t="s">
        <v>180</v>
      </c>
      <c r="E10" s="168" t="s">
        <v>181</v>
      </c>
      <c r="F10" s="168" t="s">
        <v>182</v>
      </c>
      <c r="G10" s="168" t="s">
        <v>183</v>
      </c>
      <c r="H10" s="169" t="s">
        <v>184</v>
      </c>
      <c r="I10" s="170"/>
    </row>
    <row r="11" spans="2:9" s="2" customFormat="1" ht="25.5" customHeight="1">
      <c r="B11" s="168"/>
      <c r="C11" s="168"/>
      <c r="D11" s="168"/>
      <c r="E11" s="168"/>
      <c r="F11" s="168"/>
      <c r="G11" s="168"/>
      <c r="H11" s="171"/>
      <c r="I11" s="172"/>
    </row>
    <row r="12" spans="2:9" s="2" customFormat="1" ht="34.5" customHeight="1">
      <c r="B12" s="168"/>
      <c r="C12" s="168"/>
      <c r="D12" s="168"/>
      <c r="E12" s="168"/>
      <c r="F12" s="168"/>
      <c r="G12" s="168"/>
      <c r="H12" s="137" t="s">
        <v>185</v>
      </c>
      <c r="I12" s="137" t="s">
        <v>186</v>
      </c>
    </row>
    <row r="13" spans="2:9" ht="14.25">
      <c r="B13" s="1" t="s">
        <v>328</v>
      </c>
      <c r="C13" s="24" t="s">
        <v>187</v>
      </c>
      <c r="D13" s="32" t="s">
        <v>125</v>
      </c>
      <c r="E13" s="32" t="s">
        <v>126</v>
      </c>
      <c r="F13" s="32" t="s">
        <v>129</v>
      </c>
      <c r="G13" s="33" t="s">
        <v>130</v>
      </c>
      <c r="H13" s="32" t="s">
        <v>131</v>
      </c>
      <c r="I13" s="32" t="s">
        <v>134</v>
      </c>
    </row>
    <row r="14" spans="2:9" ht="14.25">
      <c r="B14" s="24"/>
      <c r="C14" s="24" t="s">
        <v>147</v>
      </c>
      <c r="D14" s="32"/>
      <c r="E14" s="32" t="s">
        <v>127</v>
      </c>
      <c r="F14" s="32"/>
      <c r="G14" s="32"/>
      <c r="H14" s="32" t="s">
        <v>132</v>
      </c>
      <c r="I14" s="32" t="s">
        <v>135</v>
      </c>
    </row>
    <row r="15" spans="2:9" ht="14.25">
      <c r="B15" s="24"/>
      <c r="C15" s="24" t="s">
        <v>148</v>
      </c>
      <c r="D15" s="32"/>
      <c r="E15" s="32" t="s">
        <v>128</v>
      </c>
      <c r="F15" s="32"/>
      <c r="G15" s="32"/>
      <c r="H15" s="32" t="s">
        <v>133</v>
      </c>
      <c r="I15" s="32" t="s">
        <v>136</v>
      </c>
    </row>
    <row r="16" spans="2:9" ht="15">
      <c r="B16" s="24"/>
      <c r="C16" s="29" t="s">
        <v>149</v>
      </c>
      <c r="D16" s="24"/>
      <c r="E16" s="24"/>
      <c r="F16" s="24"/>
      <c r="G16" s="24"/>
      <c r="H16" s="25"/>
      <c r="I16" s="25"/>
    </row>
    <row r="18" spans="2:6" ht="15.75">
      <c r="B18" s="34"/>
      <c r="C18" s="34"/>
      <c r="D18" s="34"/>
      <c r="E18" s="34"/>
      <c r="F18" s="34"/>
    </row>
    <row r="19" spans="2:8" ht="15.75">
      <c r="B19" s="36" t="s">
        <v>484</v>
      </c>
      <c r="C19" s="37"/>
      <c r="D19" s="36" t="s">
        <v>485</v>
      </c>
      <c r="F19" s="37"/>
      <c r="H19" s="36" t="s">
        <v>496</v>
      </c>
    </row>
    <row r="20" spans="2:8" ht="15.75">
      <c r="B20" s="36" t="s">
        <v>487</v>
      </c>
      <c r="C20" s="37"/>
      <c r="D20" s="36" t="s">
        <v>487</v>
      </c>
      <c r="F20" s="37"/>
      <c r="H20" s="36" t="s">
        <v>486</v>
      </c>
    </row>
    <row r="21" ht="15.75">
      <c r="H21" s="36" t="s">
        <v>497</v>
      </c>
    </row>
  </sheetData>
  <sheetProtection/>
  <mergeCells count="8">
    <mergeCell ref="B6:I6"/>
    <mergeCell ref="F10:F12"/>
    <mergeCell ref="G10:G12"/>
    <mergeCell ref="B10:B12"/>
    <mergeCell ref="C10:C12"/>
    <mergeCell ref="D10:D12"/>
    <mergeCell ref="E10:E12"/>
    <mergeCell ref="H10:I11"/>
  </mergeCells>
  <printOptions/>
  <pageMargins left="0.75" right="0.75" top="1" bottom="1" header="0.5" footer="0.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2021-11-23T11:14:09Z</dcterms:modified>
  <cp:category/>
  <cp:version/>
  <cp:contentType/>
  <cp:contentStatus/>
</cp:coreProperties>
</file>